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chartsheets/sheet35.xml" ContentType="application/vnd.openxmlformats-officedocument.spreadsheetml.chartsheet+xml"/>
  <Override PartName="/xl/drawings/drawing35.xml" ContentType="application/vnd.openxmlformats-officedocument.drawing+xml"/>
  <Override PartName="/xl/chartsheets/sheet36.xml" ContentType="application/vnd.openxmlformats-officedocument.spreadsheetml.chartsheet+xml"/>
  <Override PartName="/xl/drawings/drawing36.xml" ContentType="application/vnd.openxmlformats-officedocument.drawing+xml"/>
  <Override PartName="/xl/chartsheets/sheet37.xml" ContentType="application/vnd.openxmlformats-officedocument.spreadsheetml.chartsheet+xml"/>
  <Override PartName="/xl/drawings/drawing37.xml" ContentType="application/vnd.openxmlformats-officedocument.drawing+xml"/>
  <Override PartName="/xl/chartsheets/sheet38.xml" ContentType="application/vnd.openxmlformats-officedocument.spreadsheetml.chartsheet+xml"/>
  <Override PartName="/xl/drawings/drawing38.xml" ContentType="application/vnd.openxmlformats-officedocument.drawing+xml"/>
  <Override PartName="/xl/chartsheets/sheet39.xml" ContentType="application/vnd.openxmlformats-officedocument.spreadsheetml.chartsheet+xml"/>
  <Override PartName="/xl/drawings/drawing39.xml" ContentType="application/vnd.openxmlformats-officedocument.drawing+xml"/>
  <Override PartName="/xl/chartsheets/sheet40.xml" ContentType="application/vnd.openxmlformats-officedocument.spreadsheetml.chartsheet+xml"/>
  <Override PartName="/xl/drawings/drawing40.xml" ContentType="application/vnd.openxmlformats-officedocument.drawing+xml"/>
  <Override PartName="/xl/chartsheets/sheet41.xml" ContentType="application/vnd.openxmlformats-officedocument.spreadsheetml.chartsheet+xml"/>
  <Override PartName="/xl/drawings/drawing41.xml" ContentType="application/vnd.openxmlformats-officedocument.drawing+xml"/>
  <Override PartName="/xl/chartsheets/sheet42.xml" ContentType="application/vnd.openxmlformats-officedocument.spreadsheetml.chartsheet+xml"/>
  <Override PartName="/xl/drawings/drawing42.xml" ContentType="application/vnd.openxmlformats-officedocument.drawing+xml"/>
  <Override PartName="/xl/chartsheets/sheet43.xml" ContentType="application/vnd.openxmlformats-officedocument.spreadsheetml.chartsheet+xml"/>
  <Override PartName="/xl/drawings/drawing43.xml" ContentType="application/vnd.openxmlformats-officedocument.drawing+xml"/>
  <Override PartName="/xl/chartsheets/sheet44.xml" ContentType="application/vnd.openxmlformats-officedocument.spreadsheetml.chartsheet+xml"/>
  <Override PartName="/xl/drawings/drawing44.xml" ContentType="application/vnd.openxmlformats-officedocument.drawing+xml"/>
  <Override PartName="/xl/chartsheets/sheet45.xml" ContentType="application/vnd.openxmlformats-officedocument.spreadsheetml.chartsheet+xml"/>
  <Override PartName="/xl/drawings/drawing45.xml" ContentType="application/vnd.openxmlformats-officedocument.drawing+xml"/>
  <Override PartName="/xl/chartsheets/sheet46.xml" ContentType="application/vnd.openxmlformats-officedocument.spreadsheetml.chartsheet+xml"/>
  <Override PartName="/xl/drawings/drawing4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845" windowHeight="7350" tabRatio="779" activeTab="46"/>
  </bookViews>
  <sheets>
    <sheet name="BW_POP_RATIO" sheetId="1" r:id="rId1"/>
    <sheet name="POP_%_NOT_BW" sheetId="2" r:id="rId2"/>
    <sheet name="CO_NEW_V" sheetId="3" r:id="rId3"/>
    <sheet name="CO_NEW_V_PC" sheetId="4" r:id="rId4"/>
    <sheet name="CO_NEW_R" sheetId="5" r:id="rId5"/>
    <sheet name="CO_NEW_R_PC" sheetId="6" r:id="rId6"/>
    <sheet name="CO_NEW_L" sheetId="7" r:id="rId7"/>
    <sheet name="CO_NEW_L_PC" sheetId="8" r:id="rId8"/>
    <sheet name="CO_NEW_D" sheetId="9" r:id="rId9"/>
    <sheet name="CO_NEW_D_PC" sheetId="10" r:id="rId10"/>
    <sheet name="CO_NEW_O" sheetId="11" r:id="rId11"/>
    <sheet name="CO_NEW_O_PC" sheetId="12" r:id="rId12"/>
    <sheet name="CO_NEW_T" sheetId="13" r:id="rId13"/>
    <sheet name="CO_NEW_T_PC" sheetId="14" r:id="rId14"/>
    <sheet name="CO_NEW_%" sheetId="15" r:id="rId15"/>
    <sheet name="CO_NEW_BNH_%" sheetId="16" r:id="rId16"/>
    <sheet name="CO_NEW_WNH_%" sheetId="17" r:id="rId17"/>
    <sheet name="CO_ADMIT_%" sheetId="18" r:id="rId18"/>
    <sheet name="CO_ADMIT_N" sheetId="19" r:id="rId19"/>
    <sheet name="CO_RACE_TOT" sheetId="20" r:id="rId20"/>
    <sheet name="CO_RACE_TOT_D" sheetId="21" r:id="rId21"/>
    <sheet name="CO_RACE_TOT_PC" sheetId="22" r:id="rId22"/>
    <sheet name="CO_RACE_TOT_PC_D" sheetId="23" r:id="rId23"/>
    <sheet name="CO_RACE_NEW" sheetId="24" r:id="rId24"/>
    <sheet name="CO_RACE_NEW_D" sheetId="25" r:id="rId25"/>
    <sheet name="CO_RACE_NEW_PC" sheetId="26" r:id="rId26"/>
    <sheet name=" CO_RACE_NEW_PC_D" sheetId="27" r:id="rId27"/>
    <sheet name="CO_RACE_PP" sheetId="28" r:id="rId28"/>
    <sheet name="CO_RACE_PP_D" sheetId="29" r:id="rId29"/>
    <sheet name="CO_RACE_PP_PC" sheetId="30" r:id="rId30"/>
    <sheet name=" CO_RACE_PP_PC_D" sheetId="31" r:id="rId31"/>
    <sheet name="CO_RACE_OTHER" sheetId="32" r:id="rId32"/>
    <sheet name="CO_RACE_OTHER_D" sheetId="33" r:id="rId33"/>
    <sheet name="CO_RACE_OTHER_PC" sheetId="34" r:id="rId34"/>
    <sheet name=" CO_RACE_OTH_PC_D" sheetId="35" r:id="rId35"/>
    <sheet name="CO_RACE_PP+OTH" sheetId="36" r:id="rId36"/>
    <sheet name="CO_RACE_PP+OTH_D" sheetId="37" r:id="rId37"/>
    <sheet name="CO_RACE_PP+OTH_PC" sheetId="38" r:id="rId38"/>
    <sheet name=" CO_RACE_PP+OTH_PC_D" sheetId="39" r:id="rId39"/>
    <sheet name="CO_RACE_%_TOT" sheetId="40" r:id="rId40"/>
    <sheet name="CO_RACEBAL_%_TOT" sheetId="41" r:id="rId41"/>
    <sheet name="CO_RACEBAL_TOT" sheetId="42" r:id="rId42"/>
    <sheet name="CO_RACEBAL_TOT_PC" sheetId="43" r:id="rId43"/>
    <sheet name="CO_RACEBAL_%_NEW" sheetId="44" r:id="rId44"/>
    <sheet name="CO_RACEBAL_NEW" sheetId="45" r:id="rId45"/>
    <sheet name="CO_RACEBAL_NEW_PC" sheetId="46" r:id="rId46"/>
    <sheet name="CO_Data1" sheetId="47" r:id="rId47"/>
    <sheet name="CO_Data2" sheetId="48" r:id="rId48"/>
    <sheet name="CO_Data3" sheetId="49" r:id="rId49"/>
    <sheet name="CO_Data4" sheetId="50" r:id="rId50"/>
    <sheet name="SCRATCH" sheetId="51" r:id="rId51"/>
  </sheets>
  <definedNames/>
  <calcPr fullCalcOnLoad="1"/>
</workbook>
</file>

<file path=xl/sharedStrings.xml><?xml version="1.0" encoding="utf-8"?>
<sst xmlns="http://schemas.openxmlformats.org/spreadsheetml/2006/main" count="874" uniqueCount="40">
  <si>
    <t>Violent</t>
  </si>
  <si>
    <t>Drugs</t>
  </si>
  <si>
    <t>Prob Rev</t>
  </si>
  <si>
    <t>Annual Admissions, by Race, Offense, and Admission-Type</t>
  </si>
  <si>
    <t>Other / NK</t>
  </si>
  <si>
    <t>Burg/Robb</t>
  </si>
  <si>
    <t>Theft/Larc.</t>
  </si>
  <si>
    <t>New Sentences</t>
  </si>
  <si>
    <t>Other/NK + PP</t>
  </si>
  <si>
    <t>Parole / Prob Rev</t>
  </si>
  <si>
    <t>All Admission-Types</t>
  </si>
  <si>
    <t>White, NH</t>
  </si>
  <si>
    <t>Black, NH</t>
  </si>
  <si>
    <t>Total</t>
  </si>
  <si>
    <t>VIOLENT</t>
  </si>
  <si>
    <t>BURGLARY / ROBBERY</t>
  </si>
  <si>
    <t>LARCENY / THEFT</t>
  </si>
  <si>
    <t>DRUGS</t>
  </si>
  <si>
    <t>OTHER/NK</t>
  </si>
  <si>
    <t>TOTAL</t>
  </si>
  <si>
    <t>YEAR</t>
  </si>
  <si>
    <t>Parole Rev</t>
  </si>
  <si>
    <t>Other/NK</t>
  </si>
  <si>
    <t>Parole/Prob</t>
  </si>
  <si>
    <t>New Sentence</t>
  </si>
  <si>
    <t>Year</t>
  </si>
  <si>
    <t>Hisp, All</t>
  </si>
  <si>
    <t>Race/Hisp NK</t>
  </si>
  <si>
    <t>Amerind, NH</t>
  </si>
  <si>
    <t>Asian/PI, NH</t>
  </si>
  <si>
    <t>Balance</t>
  </si>
  <si>
    <t>B/W Total</t>
  </si>
  <si>
    <t>% Black, NH</t>
  </si>
  <si>
    <t>B:W (NH) Ratio</t>
  </si>
  <si>
    <t>* Includes Race Not Known</t>
  </si>
  <si>
    <t>Probation Rev</t>
  </si>
  <si>
    <t>Prob/Parole</t>
  </si>
  <si>
    <t>.</t>
  </si>
  <si>
    <t>COLORADO</t>
  </si>
  <si>
    <t>-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</si>
</sst>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#,##0.0"/>
  </numFmts>
  <fonts count="1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.5"/>
      <name val="Arial"/>
      <family val="2"/>
    </font>
    <font>
      <b/>
      <sz val="11.5"/>
      <color indexed="10"/>
      <name val="Arial"/>
      <family val="2"/>
    </font>
    <font>
      <b/>
      <sz val="11.75"/>
      <name val="Arial"/>
      <family val="2"/>
    </font>
    <font>
      <sz val="9.75"/>
      <name val="Arial"/>
      <family val="0"/>
    </font>
    <font>
      <b/>
      <sz val="12"/>
      <color indexed="39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9" fontId="0" fillId="0" borderId="0" xfId="21" applyAlignment="1">
      <alignment/>
    </xf>
    <xf numFmtId="170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3" fontId="2" fillId="0" borderId="0" xfId="0" applyNumberFormat="1" applyFont="1" applyAlignment="1">
      <alignment/>
    </xf>
    <xf numFmtId="170" fontId="2" fillId="0" borderId="0" xfId="15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chartsheet" Target="chartsheets/sheet28.xml" /><Relationship Id="rId29" Type="http://schemas.openxmlformats.org/officeDocument/2006/relationships/chartsheet" Target="chartsheets/sheet29.xml" /><Relationship Id="rId30" Type="http://schemas.openxmlformats.org/officeDocument/2006/relationships/chartsheet" Target="chartsheets/sheet30.xml" /><Relationship Id="rId31" Type="http://schemas.openxmlformats.org/officeDocument/2006/relationships/chartsheet" Target="chartsheets/sheet31.xml" /><Relationship Id="rId32" Type="http://schemas.openxmlformats.org/officeDocument/2006/relationships/chartsheet" Target="chartsheets/sheet32.xml" /><Relationship Id="rId33" Type="http://schemas.openxmlformats.org/officeDocument/2006/relationships/chartsheet" Target="chartsheets/sheet33.xml" /><Relationship Id="rId34" Type="http://schemas.openxmlformats.org/officeDocument/2006/relationships/chartsheet" Target="chartsheets/sheet34.xml" /><Relationship Id="rId35" Type="http://schemas.openxmlformats.org/officeDocument/2006/relationships/chartsheet" Target="chartsheets/sheet35.xml" /><Relationship Id="rId36" Type="http://schemas.openxmlformats.org/officeDocument/2006/relationships/chartsheet" Target="chartsheets/sheet36.xml" /><Relationship Id="rId37" Type="http://schemas.openxmlformats.org/officeDocument/2006/relationships/chartsheet" Target="chartsheets/sheet37.xml" /><Relationship Id="rId38" Type="http://schemas.openxmlformats.org/officeDocument/2006/relationships/chartsheet" Target="chartsheets/sheet38.xml" /><Relationship Id="rId39" Type="http://schemas.openxmlformats.org/officeDocument/2006/relationships/chartsheet" Target="chartsheets/sheet39.xml" /><Relationship Id="rId40" Type="http://schemas.openxmlformats.org/officeDocument/2006/relationships/chartsheet" Target="chartsheets/sheet40.xml" /><Relationship Id="rId41" Type="http://schemas.openxmlformats.org/officeDocument/2006/relationships/chartsheet" Target="chartsheets/sheet41.xml" /><Relationship Id="rId42" Type="http://schemas.openxmlformats.org/officeDocument/2006/relationships/chartsheet" Target="chartsheets/sheet42.xml" /><Relationship Id="rId43" Type="http://schemas.openxmlformats.org/officeDocument/2006/relationships/chartsheet" Target="chartsheets/sheet43.xml" /><Relationship Id="rId44" Type="http://schemas.openxmlformats.org/officeDocument/2006/relationships/chartsheet" Target="chartsheets/sheet44.xml" /><Relationship Id="rId45" Type="http://schemas.openxmlformats.org/officeDocument/2006/relationships/chartsheet" Target="chartsheets/sheet45.xml" /><Relationship Id="rId46" Type="http://schemas.openxmlformats.org/officeDocument/2006/relationships/chartsheet" Target="chartsheets/sheet46.xml" /><Relationship Id="rId47" Type="http://schemas.openxmlformats.org/officeDocument/2006/relationships/worksheet" Target="worksheets/sheet1.xml" /><Relationship Id="rId48" Type="http://schemas.openxmlformats.org/officeDocument/2006/relationships/worksheet" Target="worksheets/sheet2.xml" /><Relationship Id="rId49" Type="http://schemas.openxmlformats.org/officeDocument/2006/relationships/worksheet" Target="worksheets/sheet3.xml" /><Relationship Id="rId50" Type="http://schemas.openxmlformats.org/officeDocument/2006/relationships/worksheet" Target="worksheets/sheet4.xml" /><Relationship Id="rId51" Type="http://schemas.openxmlformats.org/officeDocument/2006/relationships/worksheet" Target="worksheets/sheet5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RACIAL DISTRIBUTION OF TOTAL POPULATION: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675"/>
          <c:w val="0.91"/>
          <c:h val="0.862"/>
        </c:manualLayout>
      </c:layout>
      <c:scatterChart>
        <c:scatterStyle val="line"/>
        <c:varyColors val="0"/>
        <c:ser>
          <c:idx val="1"/>
          <c:order val="1"/>
          <c:tx>
            <c:strRef>
              <c:f>CO_Data2!$AA$110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CO_Data2!$AA$111:$AA$127</c:f>
              <c:numCache>
                <c:ptCount val="17"/>
                <c:pt idx="0">
                  <c:v>82.38661947537503</c:v>
                </c:pt>
                <c:pt idx="1">
                  <c:v>82.17515444050156</c:v>
                </c:pt>
                <c:pt idx="2">
                  <c:v>81.9496416487182</c:v>
                </c:pt>
                <c:pt idx="3">
                  <c:v>81.73191863967011</c:v>
                </c:pt>
                <c:pt idx="4">
                  <c:v>81.48248110707625</c:v>
                </c:pt>
                <c:pt idx="5">
                  <c:v>81.23855095209485</c:v>
                </c:pt>
                <c:pt idx="6">
                  <c:v>81.00598872588314</c:v>
                </c:pt>
                <c:pt idx="7">
                  <c:v>80.7068212897512</c:v>
                </c:pt>
                <c:pt idx="8">
                  <c:v>80.524901212062</c:v>
                </c:pt>
                <c:pt idx="9">
                  <c:v>80.326965790413</c:v>
                </c:pt>
                <c:pt idx="10">
                  <c:v>80.08146291763506</c:v>
                </c:pt>
                <c:pt idx="11">
                  <c:v>79.90196802876918</c:v>
                </c:pt>
                <c:pt idx="12">
                  <c:v>79.65873216087164</c:v>
                </c:pt>
                <c:pt idx="13">
                  <c:v>79.37939778362721</c:v>
                </c:pt>
                <c:pt idx="14">
                  <c:v>79.03691652106382</c:v>
                </c:pt>
                <c:pt idx="15">
                  <c:v>78.68241282933317</c:v>
                </c:pt>
                <c:pt idx="16">
                  <c:v>78.33401912609868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CO_Data2!$AB$110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CO_Data2!$AB$111:$AB$127</c:f>
              <c:numCache>
                <c:ptCount val="17"/>
                <c:pt idx="0">
                  <c:v>3.6413053364007033</c:v>
                </c:pt>
                <c:pt idx="1">
                  <c:v>3.6831019394061375</c:v>
                </c:pt>
                <c:pt idx="2">
                  <c:v>3.750089989070418</c:v>
                </c:pt>
                <c:pt idx="3">
                  <c:v>3.7959814051182255</c:v>
                </c:pt>
                <c:pt idx="4">
                  <c:v>3.8369503876729807</c:v>
                </c:pt>
                <c:pt idx="5">
                  <c:v>3.855892198094584</c:v>
                </c:pt>
                <c:pt idx="6">
                  <c:v>3.8824759098632344</c:v>
                </c:pt>
                <c:pt idx="7">
                  <c:v>3.90721525293732</c:v>
                </c:pt>
                <c:pt idx="8">
                  <c:v>3.9476274711089636</c:v>
                </c:pt>
                <c:pt idx="9">
                  <c:v>3.959283178154882</c:v>
                </c:pt>
                <c:pt idx="10">
                  <c:v>3.9610108051820836</c:v>
                </c:pt>
                <c:pt idx="11">
                  <c:v>3.9452805350980182</c:v>
                </c:pt>
                <c:pt idx="12">
                  <c:v>3.9070523461227626</c:v>
                </c:pt>
                <c:pt idx="13">
                  <c:v>3.887858419037767</c:v>
                </c:pt>
                <c:pt idx="14">
                  <c:v>3.8780425940683467</c:v>
                </c:pt>
                <c:pt idx="15">
                  <c:v>3.89559802336477</c:v>
                </c:pt>
                <c:pt idx="16">
                  <c:v>3.8849317810831154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CO_Data2!$AF$110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CO_Data2!$AF$111:$AF$127</c:f>
              <c:numCache>
                <c:ptCount val="17"/>
                <c:pt idx="0">
                  <c:v>13.972075188224268</c:v>
                </c:pt>
                <c:pt idx="1">
                  <c:v>14.141743620092305</c:v>
                </c:pt>
                <c:pt idx="2">
                  <c:v>14.300268362211384</c:v>
                </c:pt>
                <c:pt idx="3">
                  <c:v>14.472099955211661</c:v>
                </c:pt>
                <c:pt idx="4">
                  <c:v>14.680568505250765</c:v>
                </c:pt>
                <c:pt idx="5">
                  <c:v>14.905556849810562</c:v>
                </c:pt>
                <c:pt idx="6">
                  <c:v>15.111535364253623</c:v>
                </c:pt>
                <c:pt idx="7">
                  <c:v>15.385963457311476</c:v>
                </c:pt>
                <c:pt idx="8">
                  <c:v>15.52747131682903</c:v>
                </c:pt>
                <c:pt idx="9">
                  <c:v>15.71375103143212</c:v>
                </c:pt>
                <c:pt idx="10">
                  <c:v>15.95752627718285</c:v>
                </c:pt>
                <c:pt idx="11">
                  <c:v>16.152751436132807</c:v>
                </c:pt>
                <c:pt idx="12">
                  <c:v>16.434215493005603</c:v>
                </c:pt>
                <c:pt idx="13">
                  <c:v>16.732743797335022</c:v>
                </c:pt>
                <c:pt idx="14">
                  <c:v>17.085040884867837</c:v>
                </c:pt>
                <c:pt idx="15">
                  <c:v>17.421989147302057</c:v>
                </c:pt>
                <c:pt idx="16">
                  <c:v>17.781049092818204</c:v>
                </c:pt>
              </c:numCache>
            </c:numRef>
          </c:yVal>
          <c:smooth val="0"/>
        </c:ser>
        <c:axId val="13248858"/>
        <c:axId val="52130859"/>
      </c:scatterChart>
      <c:scatterChart>
        <c:scatterStyle val="lineMarker"/>
        <c:varyColors val="0"/>
        <c:ser>
          <c:idx val="0"/>
          <c:order val="0"/>
          <c:tx>
            <c:strRef>
              <c:f>CO_Data2!$AG$110</c:f>
              <c:strCache>
                <c:ptCount val="1"/>
                <c:pt idx="0">
                  <c:v>B:W (NH) Ratio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CO_Data2!$AG$111:$AG$127</c:f>
              <c:numCache>
                <c:ptCount val="17"/>
                <c:pt idx="0">
                  <c:v>0.04419777579888531</c:v>
                </c:pt>
                <c:pt idx="1">
                  <c:v>0.04482014015651003</c:v>
                </c:pt>
                <c:pt idx="2">
                  <c:v>0.04576090771873527</c:v>
                </c:pt>
                <c:pt idx="3">
                  <c:v>0.046444295794076405</c:v>
                </c:pt>
                <c:pt idx="4">
                  <c:v>0.04708926796952634</c:v>
                </c:pt>
                <c:pt idx="5">
                  <c:v>0.047463822937565014</c:v>
                </c:pt>
                <c:pt idx="6">
                  <c:v>0.04792825778599133</c:v>
                </c:pt>
                <c:pt idx="7">
                  <c:v>0.048412453749228375</c:v>
                </c:pt>
                <c:pt idx="8">
                  <c:v>0.0490236859864367</c:v>
                </c:pt>
                <c:pt idx="9">
                  <c:v>0.049289589606625245</c:v>
                </c:pt>
                <c:pt idx="10">
                  <c:v>0.04946226830616269</c:v>
                </c:pt>
                <c:pt idx="11">
                  <c:v>0.04937651264956949</c:v>
                </c:pt>
                <c:pt idx="12">
                  <c:v>0.049047383006704526</c:v>
                </c:pt>
                <c:pt idx="13">
                  <c:v>0.04897817982488747</c:v>
                </c:pt>
                <c:pt idx="14">
                  <c:v>0.04906621822771673</c:v>
                </c:pt>
                <c:pt idx="15">
                  <c:v>0.04951040370120008</c:v>
                </c:pt>
                <c:pt idx="16">
                  <c:v>0.04959443961159866</c:v>
                </c:pt>
              </c:numCache>
            </c:numRef>
          </c:yVal>
          <c:smooth val="0"/>
        </c:ser>
        <c:axId val="66524548"/>
        <c:axId val="61850021"/>
      </c:scatterChart>
      <c:valAx>
        <c:axId val="13248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2130859"/>
        <c:crosses val="autoZero"/>
        <c:crossBetween val="midCat"/>
        <c:dispUnits/>
        <c:majorUnit val="1"/>
      </c:valAx>
      <c:valAx>
        <c:axId val="5213085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13248858"/>
        <c:crosses val="autoZero"/>
        <c:crossBetween val="midCat"/>
        <c:dispUnits/>
        <c:majorUnit val="10"/>
      </c:valAx>
      <c:valAx>
        <c:axId val="66524548"/>
        <c:scaling>
          <c:orientation val="minMax"/>
        </c:scaling>
        <c:axPos val="b"/>
        <c:delete val="1"/>
        <c:majorTickMark val="in"/>
        <c:minorTickMark val="none"/>
        <c:tickLblPos val="nextTo"/>
        <c:crossAx val="61850021"/>
        <c:crosses val="max"/>
        <c:crossBetween val="midCat"/>
        <c:dispUnits/>
      </c:valAx>
      <c:valAx>
        <c:axId val="61850021"/>
        <c:scaling>
          <c:orientation val="minMax"/>
          <c:max val="0.1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BLACK-TO-WHITE (NH)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6524548"/>
        <c:crosses val="max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955"/>
          <c:w val="0.62"/>
          <c:h val="0.037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OFFENSES, PER 100,000: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1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CO_Data3!$L$64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CO_Data3!$L$65:$L$81</c:f>
              <c:numCache>
                <c:ptCount val="17"/>
                <c:pt idx="0">
                  <c:v>2.0141837268673903</c:v>
                </c:pt>
                <c:pt idx="1">
                  <c:v>1.2668213724282087</c:v>
                </c:pt>
                <c:pt idx="2">
                  <c:v>2.6240360945672183</c:v>
                </c:pt>
                <c:pt idx="3">
                  <c:v>3.2123596482277224</c:v>
                </c:pt>
                <c:pt idx="4">
                  <c:v>4.140443855581318</c:v>
                </c:pt>
                <c:pt idx="5">
                  <c:v>4.150584723056008</c:v>
                </c:pt>
                <c:pt idx="6">
                  <c:v>6.85857615958927</c:v>
                </c:pt>
                <c:pt idx="7">
                  <c:v>5.287945509409168</c:v>
                </c:pt>
                <c:pt idx="8">
                  <c:v>5.236509534503804</c:v>
                </c:pt>
                <c:pt idx="9">
                  <c:v>5.612905941728681</c:v>
                </c:pt>
                <c:pt idx="10">
                  <c:v>5.470597641751601</c:v>
                </c:pt>
                <c:pt idx="11">
                  <c:v>5.651563633523843</c:v>
                </c:pt>
                <c:pt idx="12">
                  <c:v>6.515113047286287</c:v>
                </c:pt>
                <c:pt idx="13">
                  <c:v>8.888122329639641</c:v>
                </c:pt>
                <c:pt idx="14">
                  <c:v>10.469644857941224</c:v>
                </c:pt>
                <c:pt idx="15">
                  <c:v>13.609236861242461</c:v>
                </c:pt>
                <c:pt idx="16">
                  <c:v>11.644990199324464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CO_Data3!$M$65:$M$81</c:f>
              <c:numCache>
                <c:ptCount val="17"/>
                <c:pt idx="0">
                  <c:v>11.39301520529337</c:v>
                </c:pt>
                <c:pt idx="1">
                  <c:v>11.134522157699093</c:v>
                </c:pt>
                <c:pt idx="2">
                  <c:v>13.296767223468795</c:v>
                </c:pt>
                <c:pt idx="3">
                  <c:v>16.274319936855637</c:v>
                </c:pt>
                <c:pt idx="4">
                  <c:v>28.776288338409152</c:v>
                </c:pt>
                <c:pt idx="5">
                  <c:v>51.673423960569195</c:v>
                </c:pt>
                <c:pt idx="6">
                  <c:v>106.93253029099802</c:v>
                </c:pt>
                <c:pt idx="7">
                  <c:v>88.31116516511864</c:v>
                </c:pt>
                <c:pt idx="8">
                  <c:v>72.96579634268348</c:v>
                </c:pt>
                <c:pt idx="9">
                  <c:v>120.44586870670335</c:v>
                </c:pt>
                <c:pt idx="10">
                  <c:v>131.1619531078293</c:v>
                </c:pt>
                <c:pt idx="11">
                  <c:v>156.77351776188462</c:v>
                </c:pt>
                <c:pt idx="12">
                  <c:v>185.5554338299737</c:v>
                </c:pt>
                <c:pt idx="13">
                  <c:v>207.78099343600954</c:v>
                </c:pt>
                <c:pt idx="14">
                  <c:v>272.35497594529045</c:v>
                </c:pt>
                <c:pt idx="15">
                  <c:v>236.71700675872327</c:v>
                </c:pt>
                <c:pt idx="16">
                  <c:v>206.24706494561423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CO_Data3!$N$64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CO_Data3!$N$65:$N$81</c:f>
              <c:numCache>
                <c:ptCount val="17"/>
                <c:pt idx="0">
                  <c:v>2.411161675438349</c:v>
                </c:pt>
                <c:pt idx="1">
                  <c:v>1.6901207664771158</c:v>
                </c:pt>
                <c:pt idx="2">
                  <c:v>3.091058585742511</c:v>
                </c:pt>
                <c:pt idx="3">
                  <c:v>3.792088115126351</c:v>
                </c:pt>
                <c:pt idx="4">
                  <c:v>5.248356922780493</c:v>
                </c:pt>
                <c:pt idx="5">
                  <c:v>6.303991435217123</c:v>
                </c:pt>
                <c:pt idx="6">
                  <c:v>11.43557867444382</c:v>
                </c:pt>
                <c:pt idx="7">
                  <c:v>9.121701744677486</c:v>
                </c:pt>
                <c:pt idx="8">
                  <c:v>8.40168047670924</c:v>
                </c:pt>
                <c:pt idx="9">
                  <c:v>11.007098035181565</c:v>
                </c:pt>
                <c:pt idx="10">
                  <c:v>11.394564358404159</c:v>
                </c:pt>
                <c:pt idx="11">
                  <c:v>12.76233368573912</c:v>
                </c:pt>
                <c:pt idx="12">
                  <c:v>14.886002036020924</c:v>
                </c:pt>
                <c:pt idx="13">
                  <c:v>18.174693770584337</c:v>
                </c:pt>
                <c:pt idx="14">
                  <c:v>22.718369087645176</c:v>
                </c:pt>
                <c:pt idx="15">
                  <c:v>24.134292846912917</c:v>
                </c:pt>
                <c:pt idx="16">
                  <c:v>20.840142612544266</c:v>
                </c:pt>
              </c:numCache>
            </c:numRef>
          </c:yVal>
          <c:smooth val="1"/>
        </c:ser>
        <c:axId val="33101318"/>
        <c:axId val="29476407"/>
      </c:scatterChart>
      <c:valAx>
        <c:axId val="33101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9476407"/>
        <c:crossesAt val="0"/>
        <c:crossBetween val="midCat"/>
        <c:dispUnits/>
        <c:majorUnit val="1"/>
      </c:valAx>
      <c:valAx>
        <c:axId val="29476407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3101318"/>
        <c:crosses val="autoZero"/>
        <c:crossBetween val="midCat"/>
        <c:dispUnits/>
        <c:majorUnit val="3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CO_Data1!$N$5:$N$21</c:f>
              <c:numCache>
                <c:ptCount val="17"/>
                <c:pt idx="0">
                  <c:v>146</c:v>
                </c:pt>
                <c:pt idx="1">
                  <c:v>122</c:v>
                </c:pt>
                <c:pt idx="2">
                  <c:v>186</c:v>
                </c:pt>
                <c:pt idx="3">
                  <c:v>220</c:v>
                </c:pt>
                <c:pt idx="4">
                  <c:v>268</c:v>
                </c:pt>
                <c:pt idx="5">
                  <c:v>256</c:v>
                </c:pt>
                <c:pt idx="6">
                  <c:v>329</c:v>
                </c:pt>
                <c:pt idx="7">
                  <c:v>310</c:v>
                </c:pt>
                <c:pt idx="8">
                  <c:v>294</c:v>
                </c:pt>
                <c:pt idx="9">
                  <c:v>412</c:v>
                </c:pt>
                <c:pt idx="10">
                  <c:v>422</c:v>
                </c:pt>
                <c:pt idx="11">
                  <c:v>420</c:v>
                </c:pt>
                <c:pt idx="12">
                  <c:v>466</c:v>
                </c:pt>
                <c:pt idx="13">
                  <c:v>464</c:v>
                </c:pt>
                <c:pt idx="14">
                  <c:v>371</c:v>
                </c:pt>
                <c:pt idx="15">
                  <c:v>410</c:v>
                </c:pt>
                <c:pt idx="16">
                  <c:v>421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CO_Data1!$O$5:$O$21</c:f>
              <c:numCache>
                <c:ptCount val="17"/>
                <c:pt idx="0">
                  <c:v>56</c:v>
                </c:pt>
                <c:pt idx="1">
                  <c:v>42</c:v>
                </c:pt>
                <c:pt idx="2">
                  <c:v>66</c:v>
                </c:pt>
                <c:pt idx="3">
                  <c:v>84</c:v>
                </c:pt>
                <c:pt idx="4">
                  <c:v>88</c:v>
                </c:pt>
                <c:pt idx="5">
                  <c:v>87</c:v>
                </c:pt>
                <c:pt idx="6">
                  <c:v>117</c:v>
                </c:pt>
                <c:pt idx="7">
                  <c:v>110</c:v>
                </c:pt>
                <c:pt idx="8">
                  <c:v>122</c:v>
                </c:pt>
                <c:pt idx="9">
                  <c:v>174</c:v>
                </c:pt>
                <c:pt idx="10">
                  <c:v>213</c:v>
                </c:pt>
                <c:pt idx="11">
                  <c:v>191</c:v>
                </c:pt>
                <c:pt idx="12">
                  <c:v>192</c:v>
                </c:pt>
                <c:pt idx="13">
                  <c:v>150</c:v>
                </c:pt>
                <c:pt idx="14">
                  <c:v>97</c:v>
                </c:pt>
                <c:pt idx="15">
                  <c:v>84</c:v>
                </c:pt>
                <c:pt idx="16">
                  <c:v>88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CO_Data1!$P$5:$P$21</c:f>
              <c:numCache>
                <c:ptCount val="17"/>
                <c:pt idx="0">
                  <c:v>202</c:v>
                </c:pt>
                <c:pt idx="1">
                  <c:v>164</c:v>
                </c:pt>
                <c:pt idx="2">
                  <c:v>252</c:v>
                </c:pt>
                <c:pt idx="3">
                  <c:v>304</c:v>
                </c:pt>
                <c:pt idx="4">
                  <c:v>356</c:v>
                </c:pt>
                <c:pt idx="5">
                  <c:v>343</c:v>
                </c:pt>
                <c:pt idx="6">
                  <c:v>446</c:v>
                </c:pt>
                <c:pt idx="7">
                  <c:v>420</c:v>
                </c:pt>
                <c:pt idx="8">
                  <c:v>416</c:v>
                </c:pt>
                <c:pt idx="9">
                  <c:v>586</c:v>
                </c:pt>
                <c:pt idx="10">
                  <c:v>635</c:v>
                </c:pt>
                <c:pt idx="11">
                  <c:v>611</c:v>
                </c:pt>
                <c:pt idx="12">
                  <c:v>658</c:v>
                </c:pt>
                <c:pt idx="13">
                  <c:v>614</c:v>
                </c:pt>
                <c:pt idx="14">
                  <c:v>468</c:v>
                </c:pt>
                <c:pt idx="15">
                  <c:v>494</c:v>
                </c:pt>
                <c:pt idx="16">
                  <c:v>509</c:v>
                </c:pt>
              </c:numCache>
            </c:numRef>
          </c:yVal>
          <c:smooth val="1"/>
        </c:ser>
        <c:axId val="63961072"/>
        <c:axId val="38778737"/>
      </c:scatterChart>
      <c:scatterChart>
        <c:scatterStyle val="lineMarker"/>
        <c:varyColors val="0"/>
        <c:ser>
          <c:idx val="5"/>
          <c:order val="3"/>
          <c:tx>
            <c:strRef>
              <c:f>CO_Data1!$A$23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CO_Data1!$O$28:$O$44</c:f>
              <c:numCache>
                <c:ptCount val="17"/>
                <c:pt idx="0">
                  <c:v>27.722772277227726</c:v>
                </c:pt>
                <c:pt idx="1">
                  <c:v>25.609756097560975</c:v>
                </c:pt>
                <c:pt idx="2">
                  <c:v>26.190476190476193</c:v>
                </c:pt>
                <c:pt idx="3">
                  <c:v>27.631578947368425</c:v>
                </c:pt>
                <c:pt idx="4">
                  <c:v>24.719101123595504</c:v>
                </c:pt>
                <c:pt idx="5">
                  <c:v>25.364431486880466</c:v>
                </c:pt>
                <c:pt idx="6">
                  <c:v>26.23318385650224</c:v>
                </c:pt>
                <c:pt idx="7">
                  <c:v>26.190476190476193</c:v>
                </c:pt>
                <c:pt idx="8">
                  <c:v>29.326923076923077</c:v>
                </c:pt>
                <c:pt idx="9">
                  <c:v>29.692832764505116</c:v>
                </c:pt>
                <c:pt idx="10">
                  <c:v>33.54330708661417</c:v>
                </c:pt>
                <c:pt idx="11">
                  <c:v>31.260229132569556</c:v>
                </c:pt>
                <c:pt idx="12">
                  <c:v>29.17933130699088</c:v>
                </c:pt>
                <c:pt idx="13">
                  <c:v>24.429967426710096</c:v>
                </c:pt>
                <c:pt idx="14">
                  <c:v>20.726495726495727</c:v>
                </c:pt>
                <c:pt idx="15">
                  <c:v>17.00404858299595</c:v>
                </c:pt>
                <c:pt idx="16">
                  <c:v>17.288801571709232</c:v>
                </c:pt>
              </c:numCache>
            </c:numRef>
          </c:yVal>
          <c:smooth val="0"/>
        </c:ser>
        <c:axId val="13464314"/>
        <c:axId val="54069963"/>
      </c:scatterChart>
      <c:valAx>
        <c:axId val="63961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8778737"/>
        <c:crossesAt val="0"/>
        <c:crossBetween val="midCat"/>
        <c:dispUnits/>
        <c:majorUnit val="1"/>
      </c:valAx>
      <c:valAx>
        <c:axId val="38778737"/>
        <c:scaling>
          <c:orientation val="minMax"/>
          <c:max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3961072"/>
        <c:crosses val="autoZero"/>
        <c:crossBetween val="midCat"/>
        <c:dispUnits/>
        <c:majorUnit val="100"/>
      </c:valAx>
      <c:valAx>
        <c:axId val="13464314"/>
        <c:scaling>
          <c:orientation val="minMax"/>
        </c:scaling>
        <c:axPos val="b"/>
        <c:delete val="1"/>
        <c:majorTickMark val="in"/>
        <c:minorTickMark val="none"/>
        <c:tickLblPos val="nextTo"/>
        <c:crossAx val="54069963"/>
        <c:crosses val="max"/>
        <c:crossBetween val="midCat"/>
        <c:dispUnits/>
      </c:valAx>
      <c:valAx>
        <c:axId val="54069963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346431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2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OFFENSES, PER 100,000: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7475"/>
          <c:w val="0.962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CO_Data3!$L$84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CO_Data3!$L$85:$L$101</c:f>
              <c:numCache>
                <c:ptCount val="17"/>
                <c:pt idx="0">
                  <c:v>5.655208156204596</c:v>
                </c:pt>
                <c:pt idx="1">
                  <c:v>4.68340022534065</c:v>
                </c:pt>
                <c:pt idx="2">
                  <c:v>7.073488602746416</c:v>
                </c:pt>
                <c:pt idx="3">
                  <c:v>8.31434261894234</c:v>
                </c:pt>
                <c:pt idx="4">
                  <c:v>10.087626848143577</c:v>
                </c:pt>
                <c:pt idx="5">
                  <c:v>9.659542628203072</c:v>
                </c:pt>
                <c:pt idx="6">
                  <c:v>12.398195365411372</c:v>
                </c:pt>
                <c:pt idx="7">
                  <c:v>11.625979488771929</c:v>
                </c:pt>
                <c:pt idx="8">
                  <c:v>10.84178734608534</c:v>
                </c:pt>
                <c:pt idx="9">
                  <c:v>14.82382851277062</c:v>
                </c:pt>
                <c:pt idx="10">
                  <c:v>14.798667979610101</c:v>
                </c:pt>
                <c:pt idx="11">
                  <c:v>14.385798339878873</c:v>
                </c:pt>
                <c:pt idx="12">
                  <c:v>15.649704536264998</c:v>
                </c:pt>
                <c:pt idx="13">
                  <c:v>15.331184984954623</c:v>
                </c:pt>
                <c:pt idx="14">
                  <c:v>12.062851684149674</c:v>
                </c:pt>
                <c:pt idx="15">
                  <c:v>13.128910854375082</c:v>
                </c:pt>
                <c:pt idx="16">
                  <c:v>13.250110470042161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CO_Data3!$M$84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CO_Data3!$M$85:$M$101</c:f>
              <c:numCache>
                <c:ptCount val="17"/>
                <c:pt idx="0">
                  <c:v>49.07760396126375</c:v>
                </c:pt>
                <c:pt idx="1">
                  <c:v>35.97307158641245</c:v>
                </c:pt>
                <c:pt idx="2">
                  <c:v>54.84916479680877</c:v>
                </c:pt>
                <c:pt idx="3">
                  <c:v>68.35214373479369</c:v>
                </c:pt>
                <c:pt idx="4">
                  <c:v>70.3420381605557</c:v>
                </c:pt>
                <c:pt idx="5">
                  <c:v>69.16289053183877</c:v>
                </c:pt>
                <c:pt idx="6">
                  <c:v>91.99342679446153</c:v>
                </c:pt>
                <c:pt idx="7">
                  <c:v>85.21252779090395</c:v>
                </c:pt>
                <c:pt idx="8">
                  <c:v>91.77141395677717</c:v>
                </c:pt>
                <c:pt idx="9">
                  <c:v>127.01564336343263</c:v>
                </c:pt>
                <c:pt idx="10">
                  <c:v>151.01349195658184</c:v>
                </c:pt>
                <c:pt idx="11">
                  <c:v>132.49443315274317</c:v>
                </c:pt>
                <c:pt idx="12">
                  <c:v>131.46362839614375</c:v>
                </c:pt>
                <c:pt idx="13">
                  <c:v>101.19204225779684</c:v>
                </c:pt>
                <c:pt idx="14">
                  <c:v>64.27842497978874</c:v>
                </c:pt>
                <c:pt idx="15">
                  <c:v>54.328493354461074</c:v>
                </c:pt>
                <c:pt idx="16">
                  <c:v>55.84535912373555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CO_Data3!$N$84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CO_Data3!$N$85:$N$101</c:f>
              <c:numCache>
                <c:ptCount val="17"/>
                <c:pt idx="0">
                  <c:v>7.493148591362255</c:v>
                </c:pt>
                <c:pt idx="1">
                  <c:v>6.025647950048849</c:v>
                </c:pt>
                <c:pt idx="2">
                  <c:v>9.164079571848385</c:v>
                </c:pt>
                <c:pt idx="3">
                  <c:v>10.978997971413435</c:v>
                </c:pt>
                <c:pt idx="4">
                  <c:v>12.797363455546956</c:v>
                </c:pt>
                <c:pt idx="5">
                  <c:v>12.355823213025559</c:v>
                </c:pt>
                <c:pt idx="6">
                  <c:v>16.038578895603596</c:v>
                </c:pt>
                <c:pt idx="7">
                  <c:v>15.023979344174686</c:v>
                </c:pt>
                <c:pt idx="8">
                  <c:v>14.623845515945792</c:v>
                </c:pt>
                <c:pt idx="9">
                  <c:v>20.093954668586907</c:v>
                </c:pt>
                <c:pt idx="10">
                  <c:v>21.218616913743816</c:v>
                </c:pt>
                <c:pt idx="11">
                  <c:v>19.943186398942718</c:v>
                </c:pt>
                <c:pt idx="12">
                  <c:v>21.064493203659715</c:v>
                </c:pt>
                <c:pt idx="13">
                  <c:v>19.340142071297716</c:v>
                </c:pt>
                <c:pt idx="14">
                  <c:v>14.505043291975365</c:v>
                </c:pt>
                <c:pt idx="15">
                  <c:v>15.072491360777471</c:v>
                </c:pt>
                <c:pt idx="16">
                  <c:v>15.262780704726666</c:v>
                </c:pt>
              </c:numCache>
            </c:numRef>
          </c:yVal>
          <c:smooth val="1"/>
        </c:ser>
        <c:axId val="16867620"/>
        <c:axId val="17590853"/>
      </c:scatterChart>
      <c:valAx>
        <c:axId val="16867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7590853"/>
        <c:crossesAt val="0"/>
        <c:crossBetween val="midCat"/>
        <c:dispUnits/>
        <c:majorUnit val="1"/>
      </c:valAx>
      <c:valAx>
        <c:axId val="17590853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6867620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3"/>
          <c:w val="0.920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CO_Data1!$Q$5:$Q$21</c:f>
              <c:numCache>
                <c:ptCount val="17"/>
                <c:pt idx="0">
                  <c:v>916</c:v>
                </c:pt>
                <c:pt idx="1">
                  <c:v>755</c:v>
                </c:pt>
                <c:pt idx="2">
                  <c:v>990</c:v>
                </c:pt>
                <c:pt idx="3">
                  <c:v>1104</c:v>
                </c:pt>
                <c:pt idx="4">
                  <c:v>1233</c:v>
                </c:pt>
                <c:pt idx="5">
                  <c:v>1062</c:v>
                </c:pt>
                <c:pt idx="6">
                  <c:v>1354</c:v>
                </c:pt>
                <c:pt idx="7">
                  <c:v>1161</c:v>
                </c:pt>
                <c:pt idx="8">
                  <c:v>1161</c:v>
                </c:pt>
                <c:pt idx="9">
                  <c:v>1364</c:v>
                </c:pt>
                <c:pt idx="10">
                  <c:v>1354</c:v>
                </c:pt>
                <c:pt idx="11">
                  <c:v>1297</c:v>
                </c:pt>
                <c:pt idx="12">
                  <c:v>1452</c:v>
                </c:pt>
                <c:pt idx="13">
                  <c:v>1681</c:v>
                </c:pt>
                <c:pt idx="14">
                  <c:v>1713</c:v>
                </c:pt>
                <c:pt idx="15">
                  <c:v>1971</c:v>
                </c:pt>
                <c:pt idx="16">
                  <c:v>1780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CO_Data1!$R$5:$R$21</c:f>
              <c:numCache>
                <c:ptCount val="17"/>
                <c:pt idx="0">
                  <c:v>288</c:v>
                </c:pt>
                <c:pt idx="1">
                  <c:v>220</c:v>
                </c:pt>
                <c:pt idx="2">
                  <c:v>316</c:v>
                </c:pt>
                <c:pt idx="3">
                  <c:v>389</c:v>
                </c:pt>
                <c:pt idx="4">
                  <c:v>456</c:v>
                </c:pt>
                <c:pt idx="5">
                  <c:v>447</c:v>
                </c:pt>
                <c:pt idx="6">
                  <c:v>646</c:v>
                </c:pt>
                <c:pt idx="7">
                  <c:v>502</c:v>
                </c:pt>
                <c:pt idx="8">
                  <c:v>556</c:v>
                </c:pt>
                <c:pt idx="9">
                  <c:v>639</c:v>
                </c:pt>
                <c:pt idx="10">
                  <c:v>700</c:v>
                </c:pt>
                <c:pt idx="11">
                  <c:v>745</c:v>
                </c:pt>
                <c:pt idx="12">
                  <c:v>850</c:v>
                </c:pt>
                <c:pt idx="13">
                  <c:v>859</c:v>
                </c:pt>
                <c:pt idx="14">
                  <c:v>874</c:v>
                </c:pt>
                <c:pt idx="15">
                  <c:v>801</c:v>
                </c:pt>
                <c:pt idx="16">
                  <c:v>711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CO_Data1!$S$5:$S$21</c:f>
              <c:numCache>
                <c:ptCount val="17"/>
                <c:pt idx="0">
                  <c:v>1204</c:v>
                </c:pt>
                <c:pt idx="1">
                  <c:v>975</c:v>
                </c:pt>
                <c:pt idx="2">
                  <c:v>1306</c:v>
                </c:pt>
                <c:pt idx="3">
                  <c:v>1493</c:v>
                </c:pt>
                <c:pt idx="4">
                  <c:v>1689</c:v>
                </c:pt>
                <c:pt idx="5">
                  <c:v>1509</c:v>
                </c:pt>
                <c:pt idx="6">
                  <c:v>2000</c:v>
                </c:pt>
                <c:pt idx="7">
                  <c:v>1663</c:v>
                </c:pt>
                <c:pt idx="8">
                  <c:v>1717</c:v>
                </c:pt>
                <c:pt idx="9">
                  <c:v>2003</c:v>
                </c:pt>
                <c:pt idx="10">
                  <c:v>2054</c:v>
                </c:pt>
                <c:pt idx="11">
                  <c:v>2042</c:v>
                </c:pt>
                <c:pt idx="12">
                  <c:v>2302</c:v>
                </c:pt>
                <c:pt idx="13">
                  <c:v>2540</c:v>
                </c:pt>
                <c:pt idx="14">
                  <c:v>2587</c:v>
                </c:pt>
                <c:pt idx="15">
                  <c:v>2772</c:v>
                </c:pt>
                <c:pt idx="16">
                  <c:v>2491</c:v>
                </c:pt>
              </c:numCache>
            </c:numRef>
          </c:yVal>
          <c:smooth val="1"/>
        </c:ser>
        <c:axId val="24099950"/>
        <c:axId val="15572959"/>
      </c:scatterChart>
      <c:scatterChart>
        <c:scatterStyle val="lineMarker"/>
        <c:varyColors val="0"/>
        <c:ser>
          <c:idx val="5"/>
          <c:order val="3"/>
          <c:tx>
            <c:strRef>
              <c:f>CO_Data1!$A$23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CO_Data1!$R$28:$R$44</c:f>
              <c:numCache>
                <c:ptCount val="17"/>
                <c:pt idx="0">
                  <c:v>23.920265780730897</c:v>
                </c:pt>
                <c:pt idx="1">
                  <c:v>22.564102564102566</c:v>
                </c:pt>
                <c:pt idx="2">
                  <c:v>24.196018376722815</c:v>
                </c:pt>
                <c:pt idx="3">
                  <c:v>26.054922973878096</c:v>
                </c:pt>
                <c:pt idx="4">
                  <c:v>26.99822380106572</c:v>
                </c:pt>
                <c:pt idx="5">
                  <c:v>29.62226640159046</c:v>
                </c:pt>
                <c:pt idx="6">
                  <c:v>32.300000000000004</c:v>
                </c:pt>
                <c:pt idx="7">
                  <c:v>30.18641010222489</c:v>
                </c:pt>
                <c:pt idx="8">
                  <c:v>32.382061735585324</c:v>
                </c:pt>
                <c:pt idx="9">
                  <c:v>31.902146779830254</c:v>
                </c:pt>
                <c:pt idx="10">
                  <c:v>34.079844206426486</c:v>
                </c:pt>
                <c:pt idx="11">
                  <c:v>36.48383937316356</c:v>
                </c:pt>
                <c:pt idx="12">
                  <c:v>36.9244135534318</c:v>
                </c:pt>
                <c:pt idx="13">
                  <c:v>33.818897637795274</c:v>
                </c:pt>
                <c:pt idx="14">
                  <c:v>33.78430614611519</c:v>
                </c:pt>
                <c:pt idx="15">
                  <c:v>28.8961038961039</c:v>
                </c:pt>
                <c:pt idx="16">
                  <c:v>28.542753914090728</c:v>
                </c:pt>
              </c:numCache>
            </c:numRef>
          </c:yVal>
          <c:smooth val="0"/>
        </c:ser>
        <c:axId val="5938904"/>
        <c:axId val="53450137"/>
      </c:scatterChart>
      <c:valAx>
        <c:axId val="24099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5572959"/>
        <c:crossesAt val="0"/>
        <c:crossBetween val="midCat"/>
        <c:dispUnits/>
        <c:majorUnit val="1"/>
      </c:valAx>
      <c:valAx>
        <c:axId val="15572959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099950"/>
        <c:crosses val="autoZero"/>
        <c:crossBetween val="midCat"/>
        <c:dispUnits/>
        <c:majorUnit val="350"/>
      </c:valAx>
      <c:valAx>
        <c:axId val="5938904"/>
        <c:scaling>
          <c:orientation val="minMax"/>
        </c:scaling>
        <c:axPos val="b"/>
        <c:delete val="1"/>
        <c:majorTickMark val="in"/>
        <c:minorTickMark val="none"/>
        <c:tickLblPos val="nextTo"/>
        <c:crossAx val="53450137"/>
        <c:crosses val="max"/>
        <c:crossBetween val="midCat"/>
        <c:dispUnits/>
      </c:valAx>
      <c:valAx>
        <c:axId val="53450137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93890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OFFENSES, PER 100,000: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5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CO_Data3!$L$104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CO_Data3!$L$105:$L$121</c:f>
              <c:numCache>
                <c:ptCount val="17"/>
                <c:pt idx="0">
                  <c:v>35.48062103481787</c:v>
                </c:pt>
                <c:pt idx="1">
                  <c:v>28.98333746009992</c:v>
                </c:pt>
                <c:pt idx="2">
                  <c:v>37.64921353074705</c:v>
                </c:pt>
                <c:pt idx="3">
                  <c:v>41.72288296051065</c:v>
                </c:pt>
                <c:pt idx="4">
                  <c:v>46.41061158119787</c:v>
                </c:pt>
                <c:pt idx="5">
                  <c:v>40.07200887168619</c:v>
                </c:pt>
                <c:pt idx="6">
                  <c:v>51.02479186859269</c:v>
                </c:pt>
                <c:pt idx="7">
                  <c:v>43.541168343432936</c:v>
                </c:pt>
                <c:pt idx="8">
                  <c:v>42.81399696872476</c:v>
                </c:pt>
                <c:pt idx="9">
                  <c:v>49.07694682383283</c:v>
                </c:pt>
                <c:pt idx="10">
                  <c:v>47.48198209571582</c:v>
                </c:pt>
                <c:pt idx="11">
                  <c:v>44.42471534957832</c:v>
                </c:pt>
                <c:pt idx="12">
                  <c:v>48.76259868381283</c:v>
                </c:pt>
                <c:pt idx="13">
                  <c:v>55.54250422351017</c:v>
                </c:pt>
                <c:pt idx="14">
                  <c:v>55.69721006724633</c:v>
                </c:pt>
                <c:pt idx="15">
                  <c:v>63.114837302373864</c:v>
                </c:pt>
                <c:pt idx="16">
                  <c:v>56.021844742696075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CO_Data3!$M$104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CO_Data3!$M$105:$M$121</c:f>
              <c:numCache>
                <c:ptCount val="17"/>
                <c:pt idx="0">
                  <c:v>252.3991060864993</c:v>
                </c:pt>
                <c:pt idx="1">
                  <c:v>188.43037497644622</c:v>
                </c:pt>
                <c:pt idx="2">
                  <c:v>262.6111526635087</c:v>
                </c:pt>
                <c:pt idx="3">
                  <c:v>316.5355227718422</c:v>
                </c:pt>
                <c:pt idx="4">
                  <c:v>364.49965228651587</c:v>
                </c:pt>
                <c:pt idx="5">
                  <c:v>355.3541616980682</c:v>
                </c:pt>
                <c:pt idx="6">
                  <c:v>507.9295188822406</c:v>
                </c:pt>
                <c:pt idx="7">
                  <c:v>388.87899046394347</c:v>
                </c:pt>
                <c:pt idx="8">
                  <c:v>418.2369357374435</c:v>
                </c:pt>
                <c:pt idx="9">
                  <c:v>466.4540006277785</c:v>
                </c:pt>
                <c:pt idx="10">
                  <c:v>496.2884712188136</c:v>
                </c:pt>
                <c:pt idx="11">
                  <c:v>516.7976581088674</c:v>
                </c:pt>
                <c:pt idx="12">
                  <c:v>582.0004382120947</c:v>
                </c:pt>
                <c:pt idx="13">
                  <c:v>579.4930953296499</c:v>
                </c:pt>
                <c:pt idx="14">
                  <c:v>579.168488993148</c:v>
                </c:pt>
                <c:pt idx="15">
                  <c:v>518.0609902014681</c:v>
                </c:pt>
                <c:pt idx="16">
                  <c:v>451.2051174656361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CO_Data3!$N$104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CO_Data3!$N$105:$N$121</c:f>
              <c:numCache>
                <c:ptCount val="17"/>
                <c:pt idx="0">
                  <c:v>44.662133188119576</c:v>
                </c:pt>
                <c:pt idx="1">
                  <c:v>35.82321189815626</c:v>
                </c:pt>
                <c:pt idx="2">
                  <c:v>47.493206035055515</c:v>
                </c:pt>
                <c:pt idx="3">
                  <c:v>53.919881484606115</c:v>
                </c:pt>
                <c:pt idx="4">
                  <c:v>60.715581113535976</c:v>
                </c:pt>
                <c:pt idx="5">
                  <c:v>54.35841757567222</c:v>
                </c:pt>
                <c:pt idx="6">
                  <c:v>71.9218784556215</c:v>
                </c:pt>
                <c:pt idx="7">
                  <c:v>59.48780392705357</c:v>
                </c:pt>
                <c:pt idx="8">
                  <c:v>60.358516228074336</c:v>
                </c:pt>
                <c:pt idx="9">
                  <c:v>68.6829201385317</c:v>
                </c:pt>
                <c:pt idx="10">
                  <c:v>68.63470730839337</c:v>
                </c:pt>
                <c:pt idx="11">
                  <c:v>66.65136927437156</c:v>
                </c:pt>
                <c:pt idx="12">
                  <c:v>73.69371330520465</c:v>
                </c:pt>
                <c:pt idx="13">
                  <c:v>80.00645091383747</c:v>
                </c:pt>
                <c:pt idx="14">
                  <c:v>80.18065597508604</c:v>
                </c:pt>
                <c:pt idx="15">
                  <c:v>84.57681387059748</c:v>
                </c:pt>
                <c:pt idx="16">
                  <c:v>74.6946694213637</c:v>
                </c:pt>
              </c:numCache>
            </c:numRef>
          </c:yVal>
          <c:smooth val="1"/>
        </c:ser>
        <c:axId val="11289186"/>
        <c:axId val="34493811"/>
      </c:scatterChart>
      <c:valAx>
        <c:axId val="1128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4493811"/>
        <c:crossesAt val="0"/>
        <c:crossBetween val="midCat"/>
        <c:dispUnits/>
        <c:majorUnit val="1"/>
      </c:valAx>
      <c:valAx>
        <c:axId val="34493811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289186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OFFENSES AS % OF TOTAL: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475"/>
          <c:w val="0.951"/>
          <c:h val="0.883"/>
        </c:manualLayout>
      </c:layout>
      <c:scatterChart>
        <c:scatterStyle val="line"/>
        <c:varyColors val="0"/>
        <c:ser>
          <c:idx val="0"/>
          <c:order val="0"/>
          <c:tx>
            <c:strRef>
              <c:f>CO_Data1!$J$48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CO_Data1!$J$49:$J$65</c:f>
              <c:numCache>
                <c:ptCount val="17"/>
                <c:pt idx="0">
                  <c:v>31.51702786377709</c:v>
                </c:pt>
                <c:pt idx="1">
                  <c:v>27.599687255668492</c:v>
                </c:pt>
                <c:pt idx="2">
                  <c:v>27.544565842438185</c:v>
                </c:pt>
                <c:pt idx="3">
                  <c:v>27.582697201017815</c:v>
                </c:pt>
                <c:pt idx="4">
                  <c:v>26.607538802660752</c:v>
                </c:pt>
                <c:pt idx="5">
                  <c:v>25.403028822667316</c:v>
                </c:pt>
                <c:pt idx="6">
                  <c:v>23.412251033446076</c:v>
                </c:pt>
                <c:pt idx="7">
                  <c:v>23.50877192982456</c:v>
                </c:pt>
                <c:pt idx="8">
                  <c:v>26.69983416252073</c:v>
                </c:pt>
                <c:pt idx="9">
                  <c:v>19.98572448251249</c:v>
                </c:pt>
                <c:pt idx="10">
                  <c:v>21.74366099340049</c:v>
                </c:pt>
                <c:pt idx="11">
                  <c:v>22.913202527435985</c:v>
                </c:pt>
                <c:pt idx="12">
                  <c:v>22.844827586206897</c:v>
                </c:pt>
                <c:pt idx="13">
                  <c:v>23.234683281412252</c:v>
                </c:pt>
                <c:pt idx="14">
                  <c:v>21.487603305785125</c:v>
                </c:pt>
                <c:pt idx="15">
                  <c:v>21.5609756097561</c:v>
                </c:pt>
                <c:pt idx="16">
                  <c:v>22.22222222222222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CO_Data1!$K$48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CO_Data1!$K$49:$K$65</c:f>
              <c:numCache>
                <c:ptCount val="17"/>
                <c:pt idx="0">
                  <c:v>30.340557275541798</c:v>
                </c:pt>
                <c:pt idx="1">
                  <c:v>31.352619233776384</c:v>
                </c:pt>
                <c:pt idx="2">
                  <c:v>26.336975273145484</c:v>
                </c:pt>
                <c:pt idx="3">
                  <c:v>26.0559796437659</c:v>
                </c:pt>
                <c:pt idx="4">
                  <c:v>25.188470066518846</c:v>
                </c:pt>
                <c:pt idx="5">
                  <c:v>23.35124572545188</c:v>
                </c:pt>
                <c:pt idx="6">
                  <c:v>22.81097331830139</c:v>
                </c:pt>
                <c:pt idx="7">
                  <c:v>18.596491228070175</c:v>
                </c:pt>
                <c:pt idx="8">
                  <c:v>17.454394693200666</c:v>
                </c:pt>
                <c:pt idx="9">
                  <c:v>14.953604568165597</c:v>
                </c:pt>
                <c:pt idx="10">
                  <c:v>14.31052448766933</c:v>
                </c:pt>
                <c:pt idx="11">
                  <c:v>12.770202859993349</c:v>
                </c:pt>
                <c:pt idx="12">
                  <c:v>12.471264367816092</c:v>
                </c:pt>
                <c:pt idx="13">
                  <c:v>13.369678089304257</c:v>
                </c:pt>
                <c:pt idx="14">
                  <c:v>13.352272727272727</c:v>
                </c:pt>
                <c:pt idx="15">
                  <c:v>13.78048780487805</c:v>
                </c:pt>
                <c:pt idx="16">
                  <c:v>13.408119658119658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CO_Data1!$L$48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CO_Data1!$L$49:$L$65</c:f>
              <c:numCache>
                <c:ptCount val="17"/>
                <c:pt idx="0">
                  <c:v>16.09907120743034</c:v>
                </c:pt>
                <c:pt idx="1">
                  <c:v>19.468334636434715</c:v>
                </c:pt>
                <c:pt idx="2">
                  <c:v>20.24151811385854</c:v>
                </c:pt>
                <c:pt idx="3">
                  <c:v>18.62595419847328</c:v>
                </c:pt>
                <c:pt idx="4">
                  <c:v>18.004434589800443</c:v>
                </c:pt>
                <c:pt idx="5">
                  <c:v>16.805080605764534</c:v>
                </c:pt>
                <c:pt idx="6">
                  <c:v>15.745960165351372</c:v>
                </c:pt>
                <c:pt idx="7">
                  <c:v>15.964912280701753</c:v>
                </c:pt>
                <c:pt idx="8">
                  <c:v>17.122719734660034</c:v>
                </c:pt>
                <c:pt idx="9">
                  <c:v>17.701641684511063</c:v>
                </c:pt>
                <c:pt idx="10">
                  <c:v>16.18617575547065</c:v>
                </c:pt>
                <c:pt idx="11">
                  <c:v>14.299966744263385</c:v>
                </c:pt>
                <c:pt idx="12">
                  <c:v>13.36206896551724</c:v>
                </c:pt>
                <c:pt idx="13">
                  <c:v>13.551401869158877</c:v>
                </c:pt>
                <c:pt idx="14">
                  <c:v>16.8646694214876</c:v>
                </c:pt>
                <c:pt idx="15">
                  <c:v>15.78048780487805</c:v>
                </c:pt>
                <c:pt idx="16">
                  <c:v>15.117521367521366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CO_Data1!$M$48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CO_Data1!$M$49:$M$65</c:f>
              <c:numCache>
                <c:ptCount val="17"/>
                <c:pt idx="0">
                  <c:v>4.891640866873065</c:v>
                </c:pt>
                <c:pt idx="1">
                  <c:v>4.691164972634871</c:v>
                </c:pt>
                <c:pt idx="2">
                  <c:v>6.152961472110408</c:v>
                </c:pt>
                <c:pt idx="3">
                  <c:v>6.7175572519083975</c:v>
                </c:pt>
                <c:pt idx="4">
                  <c:v>8.248337028824833</c:v>
                </c:pt>
                <c:pt idx="5">
                  <c:v>11.431362970200293</c:v>
                </c:pt>
                <c:pt idx="6">
                  <c:v>15.933859451334085</c:v>
                </c:pt>
                <c:pt idx="7">
                  <c:v>16.57894736842105</c:v>
                </c:pt>
                <c:pt idx="8">
                  <c:v>15.008291873963516</c:v>
                </c:pt>
                <c:pt idx="9">
                  <c:v>16.595289079229122</c:v>
                </c:pt>
                <c:pt idx="10">
                  <c:v>16.4987843001042</c:v>
                </c:pt>
                <c:pt idx="11">
                  <c:v>19.654140339208514</c:v>
                </c:pt>
                <c:pt idx="12">
                  <c:v>22.816091954022987</c:v>
                </c:pt>
                <c:pt idx="13">
                  <c:v>25.10384215991693</c:v>
                </c:pt>
                <c:pt idx="14">
                  <c:v>27.711776859504134</c:v>
                </c:pt>
                <c:pt idx="15">
                  <c:v>29.24390243902439</c:v>
                </c:pt>
                <c:pt idx="16">
                  <c:v>28.071581196581196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CO_Data1!$N$48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CO_Data1!$N$49:$N$65</c:f>
              <c:numCache>
                <c:ptCount val="17"/>
                <c:pt idx="0">
                  <c:v>17.151702786377708</c:v>
                </c:pt>
                <c:pt idx="1">
                  <c:v>16.888193901485536</c:v>
                </c:pt>
                <c:pt idx="2">
                  <c:v>19.723979298447382</c:v>
                </c:pt>
                <c:pt idx="3">
                  <c:v>21.017811704834603</c:v>
                </c:pt>
                <c:pt idx="4">
                  <c:v>21.951219512195124</c:v>
                </c:pt>
                <c:pt idx="5">
                  <c:v>23.009281875915974</c:v>
                </c:pt>
                <c:pt idx="6">
                  <c:v>22.096956031567082</c:v>
                </c:pt>
                <c:pt idx="7">
                  <c:v>25.35087719298246</c:v>
                </c:pt>
                <c:pt idx="8">
                  <c:v>23.71475953565506</c:v>
                </c:pt>
                <c:pt idx="9">
                  <c:v>30.763740185581728</c:v>
                </c:pt>
                <c:pt idx="10">
                  <c:v>31.26085446335533</c:v>
                </c:pt>
                <c:pt idx="11">
                  <c:v>30.362487529098768</c:v>
                </c:pt>
                <c:pt idx="12">
                  <c:v>28.50574712643678</c:v>
                </c:pt>
                <c:pt idx="13">
                  <c:v>24.740394600207686</c:v>
                </c:pt>
                <c:pt idx="14">
                  <c:v>20.583677685950413</c:v>
                </c:pt>
                <c:pt idx="15">
                  <c:v>19.634146341463417</c:v>
                </c:pt>
                <c:pt idx="16">
                  <c:v>21.180555555555554</c:v>
                </c:pt>
              </c:numCache>
            </c:numRef>
          </c:yVal>
          <c:smooth val="0"/>
        </c:ser>
        <c:axId val="42008844"/>
        <c:axId val="42535277"/>
      </c:scatterChart>
      <c:valAx>
        <c:axId val="42008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2535277"/>
        <c:crosses val="autoZero"/>
        <c:crossBetween val="midCat"/>
        <c:dispUnits/>
        <c:majorUnit val="1"/>
      </c:valAx>
      <c:valAx>
        <c:axId val="42535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0088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BLACK NH ONLY,  NEW ADMISSIONS OFFENSES AS % OF TOTAL:  COLORADO</a:t>
            </a:r>
          </a:p>
        </c:rich>
      </c:tx>
      <c:layout>
        <c:manualLayout>
          <c:xMode val="factor"/>
          <c:yMode val="factor"/>
          <c:x val="0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475"/>
          <c:w val="0.9497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CO_Data1!$J$89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CO_Data1!$J$90:$J$106</c:f>
              <c:numCache>
                <c:ptCount val="17"/>
                <c:pt idx="0">
                  <c:v>31.25</c:v>
                </c:pt>
                <c:pt idx="1">
                  <c:v>22.272727272727273</c:v>
                </c:pt>
                <c:pt idx="2">
                  <c:v>31.0126582278481</c:v>
                </c:pt>
                <c:pt idx="3">
                  <c:v>22.62210796915167</c:v>
                </c:pt>
                <c:pt idx="4">
                  <c:v>24.12280701754386</c:v>
                </c:pt>
                <c:pt idx="5">
                  <c:v>23.937360178970916</c:v>
                </c:pt>
                <c:pt idx="6">
                  <c:v>23.374613003095977</c:v>
                </c:pt>
                <c:pt idx="7">
                  <c:v>21.115537848605577</c:v>
                </c:pt>
                <c:pt idx="8">
                  <c:v>26.43884892086331</c:v>
                </c:pt>
                <c:pt idx="9">
                  <c:v>20.81377151799687</c:v>
                </c:pt>
                <c:pt idx="10">
                  <c:v>19.142857142857142</c:v>
                </c:pt>
                <c:pt idx="11">
                  <c:v>19.731543624161073</c:v>
                </c:pt>
                <c:pt idx="12">
                  <c:v>21.176470588235293</c:v>
                </c:pt>
                <c:pt idx="13">
                  <c:v>21.536670547147846</c:v>
                </c:pt>
                <c:pt idx="14">
                  <c:v>15.102974828375288</c:v>
                </c:pt>
                <c:pt idx="15">
                  <c:v>18.476903870162296</c:v>
                </c:pt>
                <c:pt idx="16">
                  <c:v>18.143459915611814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CO_Data1!$K$89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CO_Data1!$K$90:$K$106</c:f>
              <c:numCache>
                <c:ptCount val="17"/>
                <c:pt idx="0">
                  <c:v>26.73611111111111</c:v>
                </c:pt>
                <c:pt idx="1">
                  <c:v>34.090909090909086</c:v>
                </c:pt>
                <c:pt idx="2">
                  <c:v>24.367088607594937</c:v>
                </c:pt>
                <c:pt idx="3">
                  <c:v>29.82005141388175</c:v>
                </c:pt>
                <c:pt idx="4">
                  <c:v>31.57894736842105</c:v>
                </c:pt>
                <c:pt idx="5">
                  <c:v>25.05592841163311</c:v>
                </c:pt>
                <c:pt idx="6">
                  <c:v>23.684210526315788</c:v>
                </c:pt>
                <c:pt idx="7">
                  <c:v>19.12350597609562</c:v>
                </c:pt>
                <c:pt idx="8">
                  <c:v>18.165467625899282</c:v>
                </c:pt>
                <c:pt idx="9">
                  <c:v>12.519561815336463</c:v>
                </c:pt>
                <c:pt idx="10">
                  <c:v>12.142857142857142</c:v>
                </c:pt>
                <c:pt idx="11">
                  <c:v>14.228187919463087</c:v>
                </c:pt>
                <c:pt idx="12">
                  <c:v>13.176470588235295</c:v>
                </c:pt>
                <c:pt idx="13">
                  <c:v>13.271245634458673</c:v>
                </c:pt>
                <c:pt idx="14">
                  <c:v>12.700228832951947</c:v>
                </c:pt>
                <c:pt idx="15">
                  <c:v>12.234706616729088</c:v>
                </c:pt>
                <c:pt idx="16">
                  <c:v>12.236286919831224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CO_Data1!$L$89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CO_Data1!$L$90:$L$106</c:f>
              <c:numCache>
                <c:ptCount val="17"/>
                <c:pt idx="0">
                  <c:v>18.055555555555554</c:v>
                </c:pt>
                <c:pt idx="1">
                  <c:v>18.636363636363637</c:v>
                </c:pt>
                <c:pt idx="2">
                  <c:v>18.670886075949365</c:v>
                </c:pt>
                <c:pt idx="3">
                  <c:v>20.822622107969153</c:v>
                </c:pt>
                <c:pt idx="4">
                  <c:v>17.105263157894736</c:v>
                </c:pt>
                <c:pt idx="5">
                  <c:v>17.002237136465325</c:v>
                </c:pt>
                <c:pt idx="6">
                  <c:v>13.777089783281735</c:v>
                </c:pt>
                <c:pt idx="7">
                  <c:v>15.139442231075698</c:v>
                </c:pt>
                <c:pt idx="8">
                  <c:v>16.007194244604317</c:v>
                </c:pt>
                <c:pt idx="9">
                  <c:v>13.615023474178404</c:v>
                </c:pt>
                <c:pt idx="10">
                  <c:v>11.857142857142858</c:v>
                </c:pt>
                <c:pt idx="11">
                  <c:v>10.06711409395973</c:v>
                </c:pt>
                <c:pt idx="12">
                  <c:v>11.176470588235295</c:v>
                </c:pt>
                <c:pt idx="13">
                  <c:v>11.874272409778813</c:v>
                </c:pt>
                <c:pt idx="14">
                  <c:v>14.073226544622425</c:v>
                </c:pt>
                <c:pt idx="15">
                  <c:v>13.108614232209737</c:v>
                </c:pt>
                <c:pt idx="16">
                  <c:v>11.533052039381154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CO_Data1!$M$89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CO_Data1!$M$90:$M$106</c:f>
              <c:numCache>
                <c:ptCount val="17"/>
                <c:pt idx="0">
                  <c:v>4.513888888888888</c:v>
                </c:pt>
                <c:pt idx="1">
                  <c:v>5.909090909090909</c:v>
                </c:pt>
                <c:pt idx="2">
                  <c:v>5.063291139240507</c:v>
                </c:pt>
                <c:pt idx="3">
                  <c:v>5.141388174807198</c:v>
                </c:pt>
                <c:pt idx="4">
                  <c:v>7.894736842105263</c:v>
                </c:pt>
                <c:pt idx="5">
                  <c:v>14.541387024608502</c:v>
                </c:pt>
                <c:pt idx="6">
                  <c:v>21.052631578947366</c:v>
                </c:pt>
                <c:pt idx="7">
                  <c:v>22.709163346613543</c:v>
                </c:pt>
                <c:pt idx="8">
                  <c:v>17.446043165467625</c:v>
                </c:pt>
                <c:pt idx="9">
                  <c:v>25.821596244131456</c:v>
                </c:pt>
                <c:pt idx="10">
                  <c:v>26.42857142857143</c:v>
                </c:pt>
                <c:pt idx="11">
                  <c:v>30.335570469798657</c:v>
                </c:pt>
                <c:pt idx="12">
                  <c:v>31.88235294117647</c:v>
                </c:pt>
                <c:pt idx="13">
                  <c:v>35.85564610011641</c:v>
                </c:pt>
                <c:pt idx="14">
                  <c:v>47.025171624713956</c:v>
                </c:pt>
                <c:pt idx="15">
                  <c:v>45.69288389513109</c:v>
                </c:pt>
                <c:pt idx="16">
                  <c:v>45.71026722925457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CO_Data1!$N$89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CO_Data1!$N$90:$N$106</c:f>
              <c:numCache>
                <c:ptCount val="17"/>
                <c:pt idx="0">
                  <c:v>19.444444444444446</c:v>
                </c:pt>
                <c:pt idx="1">
                  <c:v>19.090909090909093</c:v>
                </c:pt>
                <c:pt idx="2">
                  <c:v>20.88607594936709</c:v>
                </c:pt>
                <c:pt idx="3">
                  <c:v>21.59383033419023</c:v>
                </c:pt>
                <c:pt idx="4">
                  <c:v>19.298245614035086</c:v>
                </c:pt>
                <c:pt idx="5">
                  <c:v>19.463087248322147</c:v>
                </c:pt>
                <c:pt idx="6">
                  <c:v>18.111455108359134</c:v>
                </c:pt>
                <c:pt idx="7">
                  <c:v>21.91235059760956</c:v>
                </c:pt>
                <c:pt idx="8">
                  <c:v>21.942446043165468</c:v>
                </c:pt>
                <c:pt idx="9">
                  <c:v>27.230046948356808</c:v>
                </c:pt>
                <c:pt idx="10">
                  <c:v>30.428571428571427</c:v>
                </c:pt>
                <c:pt idx="11">
                  <c:v>25.63758389261745</c:v>
                </c:pt>
                <c:pt idx="12">
                  <c:v>22.58823529411765</c:v>
                </c:pt>
                <c:pt idx="13">
                  <c:v>17.462165308498253</c:v>
                </c:pt>
                <c:pt idx="14">
                  <c:v>11.098398169336384</c:v>
                </c:pt>
                <c:pt idx="15">
                  <c:v>10.486891385767791</c:v>
                </c:pt>
                <c:pt idx="16">
                  <c:v>12.376933895921239</c:v>
                </c:pt>
              </c:numCache>
            </c:numRef>
          </c:yVal>
          <c:smooth val="0"/>
        </c:ser>
        <c:axId val="47273174"/>
        <c:axId val="22805383"/>
      </c:scatterChart>
      <c:valAx>
        <c:axId val="47273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2805383"/>
        <c:crosses val="autoZero"/>
        <c:crossBetween val="midCat"/>
        <c:dispUnits/>
        <c:majorUnit val="1"/>
      </c:valAx>
      <c:valAx>
        <c:axId val="22805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72731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WHITE NH ONLY, NEW ADMISSIONS OFFENSES AS % OF TOTAL: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6475"/>
          <c:w val="0.95125"/>
          <c:h val="0.87925"/>
        </c:manualLayout>
      </c:layout>
      <c:scatterChart>
        <c:scatterStyle val="line"/>
        <c:varyColors val="0"/>
        <c:ser>
          <c:idx val="0"/>
          <c:order val="0"/>
          <c:tx>
            <c:strRef>
              <c:f>CO_Data1!$B$89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CO_Data1!$B$90:$B$106</c:f>
              <c:numCache>
                <c:ptCount val="17"/>
                <c:pt idx="0">
                  <c:v>30.240174672489083</c:v>
                </c:pt>
                <c:pt idx="1">
                  <c:v>26.225165562913904</c:v>
                </c:pt>
                <c:pt idx="2">
                  <c:v>26.161616161616163</c:v>
                </c:pt>
                <c:pt idx="3">
                  <c:v>28.894927536231883</c:v>
                </c:pt>
                <c:pt idx="4">
                  <c:v>25.628548256285484</c:v>
                </c:pt>
                <c:pt idx="5">
                  <c:v>23.91713747645951</c:v>
                </c:pt>
                <c:pt idx="6">
                  <c:v>22.23042836041359</c:v>
                </c:pt>
                <c:pt idx="7">
                  <c:v>24.63393626184324</c:v>
                </c:pt>
                <c:pt idx="8">
                  <c:v>25.064599483204137</c:v>
                </c:pt>
                <c:pt idx="9">
                  <c:v>18.914956011730204</c:v>
                </c:pt>
                <c:pt idx="10">
                  <c:v>22.304283604135893</c:v>
                </c:pt>
                <c:pt idx="11">
                  <c:v>21.973785659213572</c:v>
                </c:pt>
                <c:pt idx="12">
                  <c:v>22.31404958677686</c:v>
                </c:pt>
                <c:pt idx="13">
                  <c:v>23.081499107674002</c:v>
                </c:pt>
                <c:pt idx="14">
                  <c:v>23.584354932866315</c:v>
                </c:pt>
                <c:pt idx="15">
                  <c:v>22.67884322678843</c:v>
                </c:pt>
                <c:pt idx="16">
                  <c:v>21.40449438202247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CO_Data1!$C$89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CO_Data1!$C$90:$C$106</c:f>
              <c:numCache>
                <c:ptCount val="17"/>
                <c:pt idx="0">
                  <c:v>31.222707423580786</c:v>
                </c:pt>
                <c:pt idx="1">
                  <c:v>30.33112582781457</c:v>
                </c:pt>
                <c:pt idx="2">
                  <c:v>25.555555555555554</c:v>
                </c:pt>
                <c:pt idx="3">
                  <c:v>22.644927536231883</c:v>
                </c:pt>
                <c:pt idx="4">
                  <c:v>23.519870235198702</c:v>
                </c:pt>
                <c:pt idx="5">
                  <c:v>22.128060263653484</c:v>
                </c:pt>
                <c:pt idx="6">
                  <c:v>21.270310192023633</c:v>
                </c:pt>
                <c:pt idx="7">
                  <c:v>18.6046511627907</c:v>
                </c:pt>
                <c:pt idx="8">
                  <c:v>16.19293712316968</c:v>
                </c:pt>
                <c:pt idx="9">
                  <c:v>16.568914956011728</c:v>
                </c:pt>
                <c:pt idx="10">
                  <c:v>14.623338257016247</c:v>
                </c:pt>
                <c:pt idx="11">
                  <c:v>13.261372397841173</c:v>
                </c:pt>
                <c:pt idx="12">
                  <c:v>13.360881542699724</c:v>
                </c:pt>
                <c:pt idx="13">
                  <c:v>15.169541939321832</c:v>
                </c:pt>
                <c:pt idx="14">
                  <c:v>13.543490951546994</c:v>
                </c:pt>
                <c:pt idx="15">
                  <c:v>14.662607813292745</c:v>
                </c:pt>
                <c:pt idx="16">
                  <c:v>13.988764044943819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CO_Data1!$D$89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CO_Data1!$D$90:$D$106</c:f>
              <c:numCache>
                <c:ptCount val="17"/>
                <c:pt idx="0">
                  <c:v>16.921397379912666</c:v>
                </c:pt>
                <c:pt idx="1">
                  <c:v>22.91390728476821</c:v>
                </c:pt>
                <c:pt idx="2">
                  <c:v>22.525252525252526</c:v>
                </c:pt>
                <c:pt idx="3">
                  <c:v>20.833333333333336</c:v>
                </c:pt>
                <c:pt idx="4">
                  <c:v>20.194647201946474</c:v>
                </c:pt>
                <c:pt idx="5">
                  <c:v>19.491525423728813</c:v>
                </c:pt>
                <c:pt idx="6">
                  <c:v>18.75923190546529</c:v>
                </c:pt>
                <c:pt idx="7">
                  <c:v>17.915590008613265</c:v>
                </c:pt>
                <c:pt idx="8">
                  <c:v>21.188630490956072</c:v>
                </c:pt>
                <c:pt idx="9">
                  <c:v>22.87390029325513</c:v>
                </c:pt>
                <c:pt idx="10">
                  <c:v>20.38404726735598</c:v>
                </c:pt>
                <c:pt idx="11">
                  <c:v>19.660755589822667</c:v>
                </c:pt>
                <c:pt idx="12">
                  <c:v>18.87052341597796</c:v>
                </c:pt>
                <c:pt idx="13">
                  <c:v>18.14396192742415</c:v>
                </c:pt>
                <c:pt idx="14">
                  <c:v>22.416812609457093</c:v>
                </c:pt>
                <c:pt idx="15">
                  <c:v>20.294266869609334</c:v>
                </c:pt>
                <c:pt idx="16">
                  <c:v>20.168539325842698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CO_Data1!$E$89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CO_Data1!$E$90:$E$106</c:f>
              <c:numCache>
                <c:ptCount val="17"/>
                <c:pt idx="0">
                  <c:v>5.676855895196507</c:v>
                </c:pt>
                <c:pt idx="1">
                  <c:v>4.370860927152318</c:v>
                </c:pt>
                <c:pt idx="2">
                  <c:v>6.969696969696971</c:v>
                </c:pt>
                <c:pt idx="3">
                  <c:v>7.69927536231884</c:v>
                </c:pt>
                <c:pt idx="4">
                  <c:v>8.921330089213301</c:v>
                </c:pt>
                <c:pt idx="5">
                  <c:v>10.357815442561206</c:v>
                </c:pt>
                <c:pt idx="6">
                  <c:v>13.44165435745938</c:v>
                </c:pt>
                <c:pt idx="7">
                  <c:v>12.144702842377262</c:v>
                </c:pt>
                <c:pt idx="8">
                  <c:v>12.23083548664944</c:v>
                </c:pt>
                <c:pt idx="9">
                  <c:v>11.436950146627565</c:v>
                </c:pt>
                <c:pt idx="10">
                  <c:v>11.521418020679468</c:v>
                </c:pt>
                <c:pt idx="11">
                  <c:v>12.72166538164996</c:v>
                </c:pt>
                <c:pt idx="12">
                  <c:v>13.360881542699724</c:v>
                </c:pt>
                <c:pt idx="13">
                  <c:v>16.00237953599048</c:v>
                </c:pt>
                <c:pt idx="14">
                  <c:v>18.7974314068885</c:v>
                </c:pt>
                <c:pt idx="15">
                  <c:v>21.562658548959917</c:v>
                </c:pt>
                <c:pt idx="16">
                  <c:v>20.786516853932586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CO_Data1!$F$89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CO_Data1!$F$90:$F$106</c:f>
              <c:numCache>
                <c:ptCount val="17"/>
                <c:pt idx="0">
                  <c:v>15.938864628820962</c:v>
                </c:pt>
                <c:pt idx="1">
                  <c:v>16.158940397350992</c:v>
                </c:pt>
                <c:pt idx="2">
                  <c:v>18.787878787878785</c:v>
                </c:pt>
                <c:pt idx="3">
                  <c:v>19.92753623188406</c:v>
                </c:pt>
                <c:pt idx="4">
                  <c:v>21.73560421735604</c:v>
                </c:pt>
                <c:pt idx="5">
                  <c:v>24.105461393596986</c:v>
                </c:pt>
                <c:pt idx="6">
                  <c:v>24.29837518463811</c:v>
                </c:pt>
                <c:pt idx="7">
                  <c:v>26.701119724375538</c:v>
                </c:pt>
                <c:pt idx="8">
                  <c:v>25.32299741602067</c:v>
                </c:pt>
                <c:pt idx="9">
                  <c:v>30.205278592375368</c:v>
                </c:pt>
                <c:pt idx="10">
                  <c:v>31.166912850812405</c:v>
                </c:pt>
                <c:pt idx="11">
                  <c:v>32.382420971472634</c:v>
                </c:pt>
                <c:pt idx="12">
                  <c:v>32.09366391184573</c:v>
                </c:pt>
                <c:pt idx="13">
                  <c:v>27.60261748958953</c:v>
                </c:pt>
                <c:pt idx="14">
                  <c:v>21.6579100992411</c:v>
                </c:pt>
                <c:pt idx="15">
                  <c:v>20.801623541349567</c:v>
                </c:pt>
                <c:pt idx="16">
                  <c:v>23.651685393258425</c:v>
                </c:pt>
              </c:numCache>
            </c:numRef>
          </c:yVal>
          <c:smooth val="0"/>
        </c:ser>
        <c:axId val="3921856"/>
        <c:axId val="35296705"/>
      </c:scatterChart>
      <c:valAx>
        <c:axId val="3921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5296705"/>
        <c:crosses val="autoZero"/>
        <c:crossBetween val="midCat"/>
        <c:dispUnits/>
        <c:majorUnit val="1"/>
      </c:valAx>
      <c:valAx>
        <c:axId val="35296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218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 TYPES AS % OF TOTAL: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675"/>
          <c:w val="0.9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CO_Data1!$J$109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CO_Data1!$J$110:$J$126</c:f>
              <c:numCache>
                <c:ptCount val="17"/>
                <c:pt idx="0">
                  <c:v>83.4194214876033</c:v>
                </c:pt>
                <c:pt idx="1">
                  <c:v>66.3037843442198</c:v>
                </c:pt>
                <c:pt idx="2">
                  <c:v>80.13824884792626</c:v>
                </c:pt>
                <c:pt idx="3">
                  <c:v>77.79097387173397</c:v>
                </c:pt>
                <c:pt idx="4">
                  <c:v>75.97708894878707</c:v>
                </c:pt>
                <c:pt idx="5">
                  <c:v>80.02345582486318</c:v>
                </c:pt>
                <c:pt idx="6">
                  <c:v>82.84557907845578</c:v>
                </c:pt>
                <c:pt idx="7">
                  <c:v>77.23577235772358</c:v>
                </c:pt>
                <c:pt idx="8">
                  <c:v>81.65199729180772</c:v>
                </c:pt>
                <c:pt idx="9">
                  <c:v>77.81171896695362</c:v>
                </c:pt>
                <c:pt idx="10">
                  <c:v>75.82301817224123</c:v>
                </c:pt>
                <c:pt idx="11">
                  <c:v>75.1937984496124</c:v>
                </c:pt>
                <c:pt idx="12">
                  <c:v>77.92207792207793</c:v>
                </c:pt>
                <c:pt idx="13">
                  <c:v>76.65671641791046</c:v>
                </c:pt>
                <c:pt idx="14">
                  <c:v>74.13363967068734</c:v>
                </c:pt>
                <c:pt idx="15">
                  <c:v>71.29194922622153</c:v>
                </c:pt>
                <c:pt idx="16">
                  <c:v>63.597757771360634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CO_Data1!$K$109</c:f>
              <c:strCache>
                <c:ptCount val="1"/>
                <c:pt idx="0">
                  <c:v>Parole/Prob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CO_Data1!$K$110:$K$126</c:f>
              <c:numCache>
                <c:ptCount val="17"/>
                <c:pt idx="0">
                  <c:v>15.909090909090908</c:v>
                </c:pt>
                <c:pt idx="1">
                  <c:v>0</c:v>
                </c:pt>
                <c:pt idx="2">
                  <c:v>19.308755760368665</c:v>
                </c:pt>
                <c:pt idx="3">
                  <c:v>21.694378463974665</c:v>
                </c:pt>
                <c:pt idx="4">
                  <c:v>23.753369272237197</c:v>
                </c:pt>
                <c:pt idx="5">
                  <c:v>17.3182173573104</c:v>
                </c:pt>
                <c:pt idx="6">
                  <c:v>13.013698630136986</c:v>
                </c:pt>
                <c:pt idx="7">
                  <c:v>14.871273712737127</c:v>
                </c:pt>
                <c:pt idx="8">
                  <c:v>11.98375084631009</c:v>
                </c:pt>
                <c:pt idx="9">
                  <c:v>20.938628158844764</c:v>
                </c:pt>
                <c:pt idx="10">
                  <c:v>21.4379773505399</c:v>
                </c:pt>
                <c:pt idx="11">
                  <c:v>22.330582645661416</c:v>
                </c:pt>
                <c:pt idx="12">
                  <c:v>19.458128078817737</c:v>
                </c:pt>
                <c:pt idx="13">
                  <c:v>21.034825870646767</c:v>
                </c:pt>
                <c:pt idx="14">
                  <c:v>23.85602144361478</c:v>
                </c:pt>
                <c:pt idx="15">
                  <c:v>26.95183446357155</c:v>
                </c:pt>
                <c:pt idx="16">
                  <c:v>34.516731781892304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CO_Data1!$L$109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CO_Data1!$L$110:$L$126</c:f>
              <c:numCache>
                <c:ptCount val="17"/>
                <c:pt idx="0">
                  <c:v>0.6714876033057852</c:v>
                </c:pt>
                <c:pt idx="1">
                  <c:v>33.6962156557802</c:v>
                </c:pt>
                <c:pt idx="2">
                  <c:v>0.5529953917050692</c:v>
                </c:pt>
                <c:pt idx="3">
                  <c:v>0.5146476642913698</c:v>
                </c:pt>
                <c:pt idx="4">
                  <c:v>0.2695417789757413</c:v>
                </c:pt>
                <c:pt idx="5">
                  <c:v>2.6583268178264268</c:v>
                </c:pt>
                <c:pt idx="6">
                  <c:v>4.140722291407223</c:v>
                </c:pt>
                <c:pt idx="7">
                  <c:v>7.892953929539296</c:v>
                </c:pt>
                <c:pt idx="8">
                  <c:v>6.3642518618821935</c:v>
                </c:pt>
                <c:pt idx="9">
                  <c:v>1.2496528742016106</c:v>
                </c:pt>
                <c:pt idx="10">
                  <c:v>2.739004477218857</c:v>
                </c:pt>
                <c:pt idx="11">
                  <c:v>2.4756189047261814</c:v>
                </c:pt>
                <c:pt idx="12">
                  <c:v>2.6197939991043437</c:v>
                </c:pt>
                <c:pt idx="13">
                  <c:v>2.308457711442786</c:v>
                </c:pt>
                <c:pt idx="14">
                  <c:v>2.010338885697875</c:v>
                </c:pt>
                <c:pt idx="15">
                  <c:v>1.7562163102069206</c:v>
                </c:pt>
                <c:pt idx="16">
                  <c:v>1.8855104467470698</c:v>
                </c:pt>
              </c:numCache>
            </c:numRef>
          </c:yVal>
          <c:smooth val="0"/>
        </c:ser>
        <c:axId val="49234890"/>
        <c:axId val="40460827"/>
      </c:scatterChart>
      <c:valAx>
        <c:axId val="49234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0460827"/>
        <c:crosses val="autoZero"/>
        <c:crossBetween val="midCat"/>
        <c:dispUnits/>
        <c:majorUnit val="1"/>
      </c:valAx>
      <c:valAx>
        <c:axId val="40460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92348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8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ADMISSIONS BY ADMISSIONS-TYPE (W&amp;B NH ONLY):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65"/>
          <c:w val="0.962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CO_Data1!$B$109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CO_Data1!$B$110:$B$126</c:f>
              <c:numCache>
                <c:ptCount val="17"/>
                <c:pt idx="0">
                  <c:v>1615</c:v>
                </c:pt>
                <c:pt idx="1">
                  <c:v>1279</c:v>
                </c:pt>
                <c:pt idx="2">
                  <c:v>1739</c:v>
                </c:pt>
                <c:pt idx="3">
                  <c:v>1965</c:v>
                </c:pt>
                <c:pt idx="4">
                  <c:v>2255</c:v>
                </c:pt>
                <c:pt idx="5">
                  <c:v>2047</c:v>
                </c:pt>
                <c:pt idx="6">
                  <c:v>2661</c:v>
                </c:pt>
                <c:pt idx="7">
                  <c:v>2280</c:v>
                </c:pt>
                <c:pt idx="8">
                  <c:v>2412</c:v>
                </c:pt>
                <c:pt idx="9">
                  <c:v>2802</c:v>
                </c:pt>
                <c:pt idx="10">
                  <c:v>2879</c:v>
                </c:pt>
                <c:pt idx="11">
                  <c:v>3007</c:v>
                </c:pt>
                <c:pt idx="12">
                  <c:v>3480</c:v>
                </c:pt>
                <c:pt idx="13">
                  <c:v>3852</c:v>
                </c:pt>
                <c:pt idx="14">
                  <c:v>3872</c:v>
                </c:pt>
                <c:pt idx="15">
                  <c:v>4100</c:v>
                </c:pt>
                <c:pt idx="16">
                  <c:v>3744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CO_Data1!$F$109</c:f>
              <c:strCache>
                <c:ptCount val="1"/>
                <c:pt idx="0">
                  <c:v>Prob/Parole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CO_Data1!$F$110:$F$126</c:f>
              <c:numCache>
                <c:ptCount val="17"/>
                <c:pt idx="0">
                  <c:v>308</c:v>
                </c:pt>
                <c:pt idx="1">
                  <c:v>0</c:v>
                </c:pt>
                <c:pt idx="2">
                  <c:v>419</c:v>
                </c:pt>
                <c:pt idx="3">
                  <c:v>548</c:v>
                </c:pt>
                <c:pt idx="4">
                  <c:v>705</c:v>
                </c:pt>
                <c:pt idx="5">
                  <c:v>443</c:v>
                </c:pt>
                <c:pt idx="6">
                  <c:v>418</c:v>
                </c:pt>
                <c:pt idx="7">
                  <c:v>439</c:v>
                </c:pt>
                <c:pt idx="8">
                  <c:v>354</c:v>
                </c:pt>
                <c:pt idx="9">
                  <c:v>754</c:v>
                </c:pt>
                <c:pt idx="10">
                  <c:v>814</c:v>
                </c:pt>
                <c:pt idx="11">
                  <c:v>893</c:v>
                </c:pt>
                <c:pt idx="12">
                  <c:v>869</c:v>
                </c:pt>
                <c:pt idx="13">
                  <c:v>1057</c:v>
                </c:pt>
                <c:pt idx="14">
                  <c:v>1246</c:v>
                </c:pt>
                <c:pt idx="15">
                  <c:v>1550</c:v>
                </c:pt>
                <c:pt idx="16">
                  <c:v>2032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CO_Data1!$E$109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CO_Data1!$E$110:$E$126</c:f>
              <c:numCache>
                <c:ptCount val="17"/>
                <c:pt idx="0">
                  <c:v>13</c:v>
                </c:pt>
                <c:pt idx="1">
                  <c:v>650</c:v>
                </c:pt>
                <c:pt idx="2">
                  <c:v>12</c:v>
                </c:pt>
                <c:pt idx="3">
                  <c:v>13</c:v>
                </c:pt>
                <c:pt idx="4">
                  <c:v>8</c:v>
                </c:pt>
                <c:pt idx="5">
                  <c:v>68</c:v>
                </c:pt>
                <c:pt idx="6">
                  <c:v>133</c:v>
                </c:pt>
                <c:pt idx="7">
                  <c:v>233</c:v>
                </c:pt>
                <c:pt idx="8">
                  <c:v>188</c:v>
                </c:pt>
                <c:pt idx="9">
                  <c:v>45</c:v>
                </c:pt>
                <c:pt idx="10">
                  <c:v>104</c:v>
                </c:pt>
                <c:pt idx="11">
                  <c:v>99</c:v>
                </c:pt>
                <c:pt idx="12">
                  <c:v>117</c:v>
                </c:pt>
                <c:pt idx="13">
                  <c:v>116</c:v>
                </c:pt>
                <c:pt idx="14">
                  <c:v>105</c:v>
                </c:pt>
                <c:pt idx="15">
                  <c:v>101</c:v>
                </c:pt>
                <c:pt idx="16">
                  <c:v>111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CO_Data1!$G$109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CO_Data1!$G$110:$G$126</c:f>
              <c:numCache>
                <c:ptCount val="17"/>
                <c:pt idx="0">
                  <c:v>1936</c:v>
                </c:pt>
                <c:pt idx="1">
                  <c:v>1929</c:v>
                </c:pt>
                <c:pt idx="2">
                  <c:v>2170</c:v>
                </c:pt>
                <c:pt idx="3">
                  <c:v>2526</c:v>
                </c:pt>
                <c:pt idx="4">
                  <c:v>2968</c:v>
                </c:pt>
                <c:pt idx="5">
                  <c:v>2558</c:v>
                </c:pt>
                <c:pt idx="6">
                  <c:v>3212</c:v>
                </c:pt>
                <c:pt idx="7">
                  <c:v>2952</c:v>
                </c:pt>
                <c:pt idx="8">
                  <c:v>2954</c:v>
                </c:pt>
                <c:pt idx="9">
                  <c:v>3601</c:v>
                </c:pt>
                <c:pt idx="10">
                  <c:v>3797</c:v>
                </c:pt>
                <c:pt idx="11">
                  <c:v>3999</c:v>
                </c:pt>
                <c:pt idx="12">
                  <c:v>4466</c:v>
                </c:pt>
                <c:pt idx="13">
                  <c:v>5025</c:v>
                </c:pt>
                <c:pt idx="14">
                  <c:v>5223</c:v>
                </c:pt>
                <c:pt idx="15">
                  <c:v>5751</c:v>
                </c:pt>
                <c:pt idx="16">
                  <c:v>5887</c:v>
                </c:pt>
              </c:numCache>
            </c:numRef>
          </c:yVal>
          <c:smooth val="0"/>
        </c:ser>
        <c:axId val="28603124"/>
        <c:axId val="56101525"/>
      </c:scatterChart>
      <c:valAx>
        <c:axId val="28603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6101525"/>
        <c:crosses val="autoZero"/>
        <c:crossBetween val="midCat"/>
        <c:dispUnits/>
        <c:majorUnit val="1"/>
      </c:valAx>
      <c:valAx>
        <c:axId val="56101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6031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POPULATION, BY RACE: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7475"/>
          <c:w val="0.9535"/>
          <c:h val="0.862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CO_Data2!$AC$110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CO_Data2!$AC$111:$AC$127</c:f>
              <c:numCache>
                <c:ptCount val="17"/>
                <c:pt idx="0">
                  <c:v>0.5621916314917943</c:v>
                </c:pt>
                <c:pt idx="1">
                  <c:v>0.57719406774341</c:v>
                </c:pt>
                <c:pt idx="2">
                  <c:v>0.5926345153508109</c:v>
                </c:pt>
                <c:pt idx="3">
                  <c:v>0.6082873866777866</c:v>
                </c:pt>
                <c:pt idx="4">
                  <c:v>0.6244786043772697</c:v>
                </c:pt>
                <c:pt idx="5">
                  <c:v>0.640901455423814</c:v>
                </c:pt>
                <c:pt idx="6">
                  <c:v>0.657728045052509</c:v>
                </c:pt>
                <c:pt idx="7">
                  <c:v>0.6720317010819459</c:v>
                </c:pt>
                <c:pt idx="8">
                  <c:v>0.6687914449809016</c:v>
                </c:pt>
                <c:pt idx="9">
                  <c:v>0.6691917184851424</c:v>
                </c:pt>
                <c:pt idx="10">
                  <c:v>0.6679240323470239</c:v>
                </c:pt>
                <c:pt idx="11">
                  <c:v>0.6624684242359555</c:v>
                </c:pt>
                <c:pt idx="12">
                  <c:v>0.6603423539637261</c:v>
                </c:pt>
                <c:pt idx="13">
                  <c:v>0.6587692343201015</c:v>
                </c:pt>
                <c:pt idx="14">
                  <c:v>0.6524823496971316</c:v>
                </c:pt>
                <c:pt idx="15">
                  <c:v>0.6515045350591224</c:v>
                </c:pt>
                <c:pt idx="16">
                  <c:v>0.64938699002227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CO_Data2!$AD$110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CO_Data2!$AD$111:$AD$127</c:f>
              <c:numCache>
                <c:ptCount val="17"/>
                <c:pt idx="0">
                  <c:v>1.3359271311313496</c:v>
                </c:pt>
                <c:pt idx="1">
                  <c:v>1.3977642207816994</c:v>
                </c:pt>
                <c:pt idx="2">
                  <c:v>1.4602693968909126</c:v>
                </c:pt>
                <c:pt idx="3">
                  <c:v>1.5206412454246399</c:v>
                </c:pt>
                <c:pt idx="4">
                  <c:v>1.5728052311316125</c:v>
                </c:pt>
                <c:pt idx="5">
                  <c:v>1.6250904275537352</c:v>
                </c:pt>
                <c:pt idx="6">
                  <c:v>1.6826005808618416</c:v>
                </c:pt>
                <c:pt idx="7">
                  <c:v>1.7460475044054502</c:v>
                </c:pt>
                <c:pt idx="8">
                  <c:v>1.776356639674875</c:v>
                </c:pt>
                <c:pt idx="9">
                  <c:v>1.845696308809695</c:v>
                </c:pt>
                <c:pt idx="10">
                  <c:v>1.9082059398733573</c:v>
                </c:pt>
                <c:pt idx="11">
                  <c:v>1.9622815011864005</c:v>
                </c:pt>
                <c:pt idx="12">
                  <c:v>2.029367632042388</c:v>
                </c:pt>
                <c:pt idx="13">
                  <c:v>2.0776527808522847</c:v>
                </c:pt>
                <c:pt idx="14">
                  <c:v>2.134149240368176</c:v>
                </c:pt>
                <c:pt idx="15">
                  <c:v>2.200169464749896</c:v>
                </c:pt>
                <c:pt idx="16">
                  <c:v>2.2509370378140954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CO_Data2!$AE$110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CO_Data2!$AE$111:$AE$127</c:f>
              <c:numCache>
                <c:ptCount val="17"/>
                <c:pt idx="0">
                  <c:v>12.073956425601116</c:v>
                </c:pt>
                <c:pt idx="1">
                  <c:v>12.166785331567187</c:v>
                </c:pt>
                <c:pt idx="2">
                  <c:v>12.24736444996966</c:v>
                </c:pt>
                <c:pt idx="3">
                  <c:v>12.343171323109237</c:v>
                </c:pt>
                <c:pt idx="4">
                  <c:v>12.48328466974188</c:v>
                </c:pt>
                <c:pt idx="5">
                  <c:v>12.639564966833012</c:v>
                </c:pt>
                <c:pt idx="6">
                  <c:v>12.771206738339263</c:v>
                </c:pt>
                <c:pt idx="7">
                  <c:v>12.967884251824078</c:v>
                </c:pt>
                <c:pt idx="8">
                  <c:v>13.082323232173257</c:v>
                </c:pt>
                <c:pt idx="9">
                  <c:v>13.19886300413729</c:v>
                </c:pt>
                <c:pt idx="10">
                  <c:v>13.381396304962475</c:v>
                </c:pt>
                <c:pt idx="11">
                  <c:v>13.528001510710444</c:v>
                </c:pt>
                <c:pt idx="12">
                  <c:v>13.744505506999486</c:v>
                </c:pt>
                <c:pt idx="13">
                  <c:v>13.996321782162639</c:v>
                </c:pt>
                <c:pt idx="14">
                  <c:v>14.298409294802525</c:v>
                </c:pt>
                <c:pt idx="15">
                  <c:v>14.570315147493037</c:v>
                </c:pt>
                <c:pt idx="16">
                  <c:v>14.880725064981842</c:v>
                </c:pt>
              </c:numCache>
            </c:numRef>
          </c:yVal>
          <c:smooth val="0"/>
        </c:ser>
        <c:axId val="19779278"/>
        <c:axId val="43795775"/>
      </c:scatterChart>
      <c:valAx>
        <c:axId val="19779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3795775"/>
        <c:crosses val="autoZero"/>
        <c:crossBetween val="midCat"/>
        <c:dispUnits/>
        <c:majorUnit val="1"/>
      </c:valAx>
      <c:valAx>
        <c:axId val="43795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97792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25"/>
          <c:y val="0.9495"/>
          <c:w val="0.443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CO_Data2!$K$4:$K$20</c:f>
              <c:numCache>
                <c:ptCount val="17"/>
                <c:pt idx="0">
                  <c:v>1071</c:v>
                </c:pt>
                <c:pt idx="1">
                  <c:v>1019</c:v>
                </c:pt>
                <c:pt idx="2">
                  <c:v>1196</c:v>
                </c:pt>
                <c:pt idx="3">
                  <c:v>1372</c:v>
                </c:pt>
                <c:pt idx="4">
                  <c:v>1569</c:v>
                </c:pt>
                <c:pt idx="5">
                  <c:v>1302</c:v>
                </c:pt>
                <c:pt idx="6">
                  <c:v>1614</c:v>
                </c:pt>
                <c:pt idx="7">
                  <c:v>1455</c:v>
                </c:pt>
                <c:pt idx="8">
                  <c:v>1390</c:v>
                </c:pt>
                <c:pt idx="9">
                  <c:v>1713</c:v>
                </c:pt>
                <c:pt idx="10">
                  <c:v>1745</c:v>
                </c:pt>
                <c:pt idx="11">
                  <c:v>1722</c:v>
                </c:pt>
                <c:pt idx="12">
                  <c:v>1889</c:v>
                </c:pt>
                <c:pt idx="13">
                  <c:v>2136</c:v>
                </c:pt>
                <c:pt idx="14">
                  <c:v>2268</c:v>
                </c:pt>
                <c:pt idx="15">
                  <c:v>2678</c:v>
                </c:pt>
                <c:pt idx="16">
                  <c:v>2648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CO_Data2!$L$4:$L$20</c:f>
              <c:numCache>
                <c:ptCount val="17"/>
                <c:pt idx="0">
                  <c:v>364</c:v>
                </c:pt>
                <c:pt idx="1">
                  <c:v>366</c:v>
                </c:pt>
                <c:pt idx="2">
                  <c:v>424</c:v>
                </c:pt>
                <c:pt idx="3">
                  <c:v>516</c:v>
                </c:pt>
                <c:pt idx="4">
                  <c:v>619</c:v>
                </c:pt>
                <c:pt idx="5">
                  <c:v>565</c:v>
                </c:pt>
                <c:pt idx="6">
                  <c:v>764</c:v>
                </c:pt>
                <c:pt idx="7">
                  <c:v>684</c:v>
                </c:pt>
                <c:pt idx="8">
                  <c:v>710</c:v>
                </c:pt>
                <c:pt idx="9">
                  <c:v>856</c:v>
                </c:pt>
                <c:pt idx="10">
                  <c:v>955</c:v>
                </c:pt>
                <c:pt idx="11">
                  <c:v>1043</c:v>
                </c:pt>
                <c:pt idx="12">
                  <c:v>1130</c:v>
                </c:pt>
                <c:pt idx="13">
                  <c:v>1186</c:v>
                </c:pt>
                <c:pt idx="14">
                  <c:v>1256</c:v>
                </c:pt>
                <c:pt idx="15">
                  <c:v>1269</c:v>
                </c:pt>
                <c:pt idx="16">
                  <c:v>1353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CO_Data2!$M$3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CO_Data2!$M$4:$M$20</c:f>
              <c:numCache>
                <c:ptCount val="17"/>
                <c:pt idx="0">
                  <c:v>501</c:v>
                </c:pt>
                <c:pt idx="1">
                  <c:v>544</c:v>
                </c:pt>
                <c:pt idx="2">
                  <c:v>550</c:v>
                </c:pt>
                <c:pt idx="3">
                  <c:v>638</c:v>
                </c:pt>
                <c:pt idx="4">
                  <c:v>780</c:v>
                </c:pt>
                <c:pt idx="5">
                  <c:v>691</c:v>
                </c:pt>
                <c:pt idx="6">
                  <c:v>834</c:v>
                </c:pt>
                <c:pt idx="7">
                  <c:v>813</c:v>
                </c:pt>
                <c:pt idx="8">
                  <c:v>854</c:v>
                </c:pt>
                <c:pt idx="9">
                  <c:v>1032</c:v>
                </c:pt>
                <c:pt idx="10">
                  <c:v>1097</c:v>
                </c:pt>
                <c:pt idx="11">
                  <c:v>1234</c:v>
                </c:pt>
                <c:pt idx="12">
                  <c:v>1447</c:v>
                </c:pt>
                <c:pt idx="13">
                  <c:v>1703</c:v>
                </c:pt>
                <c:pt idx="14">
                  <c:v>1699</c:v>
                </c:pt>
                <c:pt idx="15">
                  <c:v>1804</c:v>
                </c:pt>
                <c:pt idx="16">
                  <c:v>1886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CO_Data2!$N$3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CO_Data2!$N$4:$N$20</c:f>
              <c:numCache>
                <c:ptCount val="17"/>
                <c:pt idx="0">
                  <c:v>1936</c:v>
                </c:pt>
                <c:pt idx="1">
                  <c:v>1929</c:v>
                </c:pt>
                <c:pt idx="2">
                  <c:v>2170</c:v>
                </c:pt>
                <c:pt idx="3">
                  <c:v>2526</c:v>
                </c:pt>
                <c:pt idx="4">
                  <c:v>2968</c:v>
                </c:pt>
                <c:pt idx="5">
                  <c:v>2558</c:v>
                </c:pt>
                <c:pt idx="6">
                  <c:v>3212</c:v>
                </c:pt>
                <c:pt idx="7">
                  <c:v>2952</c:v>
                </c:pt>
                <c:pt idx="8">
                  <c:v>2954</c:v>
                </c:pt>
                <c:pt idx="9">
                  <c:v>3601</c:v>
                </c:pt>
                <c:pt idx="10">
                  <c:v>3797</c:v>
                </c:pt>
                <c:pt idx="11">
                  <c:v>3999</c:v>
                </c:pt>
                <c:pt idx="12">
                  <c:v>4466</c:v>
                </c:pt>
                <c:pt idx="13">
                  <c:v>5025</c:v>
                </c:pt>
                <c:pt idx="14">
                  <c:v>5223</c:v>
                </c:pt>
                <c:pt idx="15">
                  <c:v>5751</c:v>
                </c:pt>
                <c:pt idx="16">
                  <c:v>5887</c:v>
                </c:pt>
              </c:numCache>
            </c:numRef>
          </c:yVal>
          <c:smooth val="0"/>
        </c:ser>
        <c:axId val="35151678"/>
        <c:axId val="47929647"/>
      </c:scatterChart>
      <c:valAx>
        <c:axId val="35151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7929647"/>
        <c:crosses val="autoZero"/>
        <c:crossBetween val="midCat"/>
        <c:dispUnits/>
        <c:majorUnit val="1"/>
      </c:valAx>
      <c:valAx>
        <c:axId val="47929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51516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6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CO_Data2!$K$4:$K$20</c:f>
              <c:numCache>
                <c:ptCount val="17"/>
                <c:pt idx="0">
                  <c:v>1071</c:v>
                </c:pt>
                <c:pt idx="1">
                  <c:v>1019</c:v>
                </c:pt>
                <c:pt idx="2">
                  <c:v>1196</c:v>
                </c:pt>
                <c:pt idx="3">
                  <c:v>1372</c:v>
                </c:pt>
                <c:pt idx="4">
                  <c:v>1569</c:v>
                </c:pt>
                <c:pt idx="5">
                  <c:v>1302</c:v>
                </c:pt>
                <c:pt idx="6">
                  <c:v>1614</c:v>
                </c:pt>
                <c:pt idx="7">
                  <c:v>1455</c:v>
                </c:pt>
                <c:pt idx="8">
                  <c:v>1390</c:v>
                </c:pt>
                <c:pt idx="9">
                  <c:v>1713</c:v>
                </c:pt>
                <c:pt idx="10">
                  <c:v>1745</c:v>
                </c:pt>
                <c:pt idx="11">
                  <c:v>1722</c:v>
                </c:pt>
                <c:pt idx="12">
                  <c:v>1889</c:v>
                </c:pt>
                <c:pt idx="13">
                  <c:v>2136</c:v>
                </c:pt>
                <c:pt idx="14">
                  <c:v>2268</c:v>
                </c:pt>
                <c:pt idx="15">
                  <c:v>2678</c:v>
                </c:pt>
                <c:pt idx="16">
                  <c:v>2648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CO_Data2!$L$4:$L$20</c:f>
              <c:numCache>
                <c:ptCount val="17"/>
                <c:pt idx="0">
                  <c:v>364</c:v>
                </c:pt>
                <c:pt idx="1">
                  <c:v>366</c:v>
                </c:pt>
                <c:pt idx="2">
                  <c:v>424</c:v>
                </c:pt>
                <c:pt idx="3">
                  <c:v>516</c:v>
                </c:pt>
                <c:pt idx="4">
                  <c:v>619</c:v>
                </c:pt>
                <c:pt idx="5">
                  <c:v>565</c:v>
                </c:pt>
                <c:pt idx="6">
                  <c:v>764</c:v>
                </c:pt>
                <c:pt idx="7">
                  <c:v>684</c:v>
                </c:pt>
                <c:pt idx="8">
                  <c:v>710</c:v>
                </c:pt>
                <c:pt idx="9">
                  <c:v>856</c:v>
                </c:pt>
                <c:pt idx="10">
                  <c:v>955</c:v>
                </c:pt>
                <c:pt idx="11">
                  <c:v>1043</c:v>
                </c:pt>
                <c:pt idx="12">
                  <c:v>1130</c:v>
                </c:pt>
                <c:pt idx="13">
                  <c:v>1186</c:v>
                </c:pt>
                <c:pt idx="14">
                  <c:v>1256</c:v>
                </c:pt>
                <c:pt idx="15">
                  <c:v>1269</c:v>
                </c:pt>
                <c:pt idx="16">
                  <c:v>1353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CO_Data2!$D$4:$D$20</c:f>
              <c:numCache>
                <c:ptCount val="17"/>
                <c:pt idx="0">
                  <c:v>21</c:v>
                </c:pt>
                <c:pt idx="1">
                  <c:v>26</c:v>
                </c:pt>
                <c:pt idx="2">
                  <c:v>30</c:v>
                </c:pt>
                <c:pt idx="3">
                  <c:v>21</c:v>
                </c:pt>
                <c:pt idx="4">
                  <c:v>32</c:v>
                </c:pt>
                <c:pt idx="5">
                  <c:v>28</c:v>
                </c:pt>
                <c:pt idx="6">
                  <c:v>33</c:v>
                </c:pt>
                <c:pt idx="7">
                  <c:v>30</c:v>
                </c:pt>
                <c:pt idx="8">
                  <c:v>53</c:v>
                </c:pt>
                <c:pt idx="9">
                  <c:v>84</c:v>
                </c:pt>
                <c:pt idx="10">
                  <c:v>99</c:v>
                </c:pt>
                <c:pt idx="11">
                  <c:v>103</c:v>
                </c:pt>
                <c:pt idx="12">
                  <c:v>107</c:v>
                </c:pt>
                <c:pt idx="13">
                  <c:v>111</c:v>
                </c:pt>
                <c:pt idx="14">
                  <c:v>108</c:v>
                </c:pt>
                <c:pt idx="15">
                  <c:v>97</c:v>
                </c:pt>
                <c:pt idx="16">
                  <c:v>127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CO_Data2!$E$3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CO_Data2!$E$4:$E$20</c:f>
              <c:numCache>
                <c:ptCount val="17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13</c:v>
                </c:pt>
                <c:pt idx="7">
                  <c:v>5</c:v>
                </c:pt>
                <c:pt idx="8">
                  <c:v>16</c:v>
                </c:pt>
                <c:pt idx="9">
                  <c:v>11</c:v>
                </c:pt>
                <c:pt idx="10">
                  <c:v>13</c:v>
                </c:pt>
                <c:pt idx="11">
                  <c:v>21</c:v>
                </c:pt>
                <c:pt idx="12">
                  <c:v>22</c:v>
                </c:pt>
                <c:pt idx="13">
                  <c:v>21</c:v>
                </c:pt>
                <c:pt idx="14">
                  <c:v>25</c:v>
                </c:pt>
                <c:pt idx="15">
                  <c:v>28</c:v>
                </c:pt>
                <c:pt idx="16">
                  <c:v>36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CO_Data2!$F$3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CO_Data2!$F$4:$F$20</c:f>
              <c:numCache>
                <c:ptCount val="17"/>
                <c:pt idx="0">
                  <c:v>476</c:v>
                </c:pt>
                <c:pt idx="1">
                  <c:v>512</c:v>
                </c:pt>
                <c:pt idx="2">
                  <c:v>512</c:v>
                </c:pt>
                <c:pt idx="3">
                  <c:v>614</c:v>
                </c:pt>
                <c:pt idx="4">
                  <c:v>743</c:v>
                </c:pt>
                <c:pt idx="5">
                  <c:v>657</c:v>
                </c:pt>
                <c:pt idx="6">
                  <c:v>788</c:v>
                </c:pt>
                <c:pt idx="7">
                  <c:v>778</c:v>
                </c:pt>
                <c:pt idx="8">
                  <c:v>785</c:v>
                </c:pt>
                <c:pt idx="9">
                  <c:v>937</c:v>
                </c:pt>
                <c:pt idx="10">
                  <c:v>985</c:v>
                </c:pt>
                <c:pt idx="11">
                  <c:v>1110</c:v>
                </c:pt>
                <c:pt idx="12">
                  <c:v>1318</c:v>
                </c:pt>
                <c:pt idx="13">
                  <c:v>1571</c:v>
                </c:pt>
                <c:pt idx="14">
                  <c:v>1566</c:v>
                </c:pt>
                <c:pt idx="15">
                  <c:v>1679</c:v>
                </c:pt>
                <c:pt idx="16">
                  <c:v>1723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CO_Data2!$G$3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CO_Data2!$G$4:$G$20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CO_Data2!$N$3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CO_Data2!$N$4:$N$20</c:f>
              <c:numCache>
                <c:ptCount val="17"/>
                <c:pt idx="0">
                  <c:v>1936</c:v>
                </c:pt>
                <c:pt idx="1">
                  <c:v>1929</c:v>
                </c:pt>
                <c:pt idx="2">
                  <c:v>2170</c:v>
                </c:pt>
                <c:pt idx="3">
                  <c:v>2526</c:v>
                </c:pt>
                <c:pt idx="4">
                  <c:v>2968</c:v>
                </c:pt>
                <c:pt idx="5">
                  <c:v>2558</c:v>
                </c:pt>
                <c:pt idx="6">
                  <c:v>3212</c:v>
                </c:pt>
                <c:pt idx="7">
                  <c:v>2952</c:v>
                </c:pt>
                <c:pt idx="8">
                  <c:v>2954</c:v>
                </c:pt>
                <c:pt idx="9">
                  <c:v>3601</c:v>
                </c:pt>
                <c:pt idx="10">
                  <c:v>3797</c:v>
                </c:pt>
                <c:pt idx="11">
                  <c:v>3999</c:v>
                </c:pt>
                <c:pt idx="12">
                  <c:v>4466</c:v>
                </c:pt>
                <c:pt idx="13">
                  <c:v>5025</c:v>
                </c:pt>
                <c:pt idx="14">
                  <c:v>5223</c:v>
                </c:pt>
                <c:pt idx="15">
                  <c:v>5751</c:v>
                </c:pt>
                <c:pt idx="16">
                  <c:v>5887</c:v>
                </c:pt>
              </c:numCache>
            </c:numRef>
          </c:yVal>
          <c:smooth val="0"/>
        </c:ser>
        <c:axId val="28713640"/>
        <c:axId val="57096169"/>
      </c:scatterChart>
      <c:valAx>
        <c:axId val="28713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7096169"/>
        <c:crosses val="autoZero"/>
        <c:crossBetween val="midCat"/>
        <c:dispUnits/>
        <c:majorUnit val="1"/>
      </c:valAx>
      <c:valAx>
        <c:axId val="57096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7136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CO_Data2!$AK$4:$AK$20</c:f>
              <c:numCache>
                <c:ptCount val="17"/>
                <c:pt idx="0">
                  <c:v>41.48443791298029</c:v>
                </c:pt>
                <c:pt idx="1">
                  <c:v>39.11790843952559</c:v>
                </c:pt>
                <c:pt idx="2">
                  <c:v>45.48329230583179</c:v>
                </c:pt>
                <c:pt idx="3">
                  <c:v>51.85126396904041</c:v>
                </c:pt>
                <c:pt idx="4">
                  <c:v>59.057785540064444</c:v>
                </c:pt>
                <c:pt idx="5">
                  <c:v>49.12783008562656</c:v>
                </c:pt>
                <c:pt idx="6">
                  <c:v>60.822757810863074</c:v>
                </c:pt>
                <c:pt idx="7">
                  <c:v>54.56709727794566</c:v>
                </c:pt>
                <c:pt idx="8">
                  <c:v>51.25879051380484</c:v>
                </c:pt>
                <c:pt idx="9">
                  <c:v>61.6340248601361</c:v>
                </c:pt>
                <c:pt idx="10">
                  <c:v>61.193544133695795</c:v>
                </c:pt>
                <c:pt idx="11">
                  <c:v>58.98177319350337</c:v>
                </c:pt>
                <c:pt idx="12">
                  <c:v>63.43839456867937</c:v>
                </c:pt>
                <c:pt idx="13">
                  <c:v>70.5763170859118</c:v>
                </c:pt>
                <c:pt idx="14">
                  <c:v>73.74271595593385</c:v>
                </c:pt>
                <c:pt idx="15">
                  <c:v>85.75420309272309</c:v>
                </c:pt>
                <c:pt idx="16">
                  <c:v>83.34036229138157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CO_Data2!$AL$4:$AL$20</c:f>
              <c:numCache>
                <c:ptCount val="17"/>
                <c:pt idx="0">
                  <c:v>319.0044257482144</c:v>
                </c:pt>
                <c:pt idx="1">
                  <c:v>313.4796238244514</c:v>
                </c:pt>
                <c:pt idx="2">
                  <c:v>352.36433142192305</c:v>
                </c:pt>
                <c:pt idx="3">
                  <c:v>419.8774543708755</c:v>
                </c:pt>
                <c:pt idx="4">
                  <c:v>494.7922911520907</c:v>
                </c:pt>
                <c:pt idx="5">
                  <c:v>449.16130058033235</c:v>
                </c:pt>
                <c:pt idx="6">
                  <c:v>600.7092142817829</c:v>
                </c:pt>
                <c:pt idx="7">
                  <c:v>529.8669909907118</c:v>
                </c:pt>
                <c:pt idx="8">
                  <c:v>534.0795402402606</c:v>
                </c:pt>
                <c:pt idx="9">
                  <c:v>624.8585673511399</c:v>
                </c:pt>
                <c:pt idx="10">
                  <c:v>677.0792714485242</c:v>
                </c:pt>
                <c:pt idx="11">
                  <c:v>723.5167213524144</c:v>
                </c:pt>
                <c:pt idx="12">
                  <c:v>773.7182296231376</c:v>
                </c:pt>
                <c:pt idx="13">
                  <c:v>800.091747451647</c:v>
                </c:pt>
                <c:pt idx="14">
                  <c:v>832.3062038620068</c:v>
                </c:pt>
                <c:pt idx="15">
                  <c:v>820.7483103191798</c:v>
                </c:pt>
                <c:pt idx="16">
                  <c:v>858.622396527434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CO_Data2!$AR$3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CO_Data2!$AR$4:$AR$20</c:f>
              <c:numCache>
                <c:ptCount val="17"/>
                <c:pt idx="0">
                  <c:v>114.4271902757444</c:v>
                </c:pt>
                <c:pt idx="1">
                  <c:v>121.34947757265354</c:v>
                </c:pt>
                <c:pt idx="2">
                  <c:v>119.86331223739037</c:v>
                </c:pt>
                <c:pt idx="3">
                  <c:v>136.17144796351118</c:v>
                </c:pt>
                <c:pt idx="4">
                  <c:v>162.95593713243514</c:v>
                </c:pt>
                <c:pt idx="5">
                  <c:v>142.104754442573</c:v>
                </c:pt>
                <c:pt idx="6">
                  <c:v>168.47565890345373</c:v>
                </c:pt>
                <c:pt idx="7">
                  <c:v>159.9351603581131</c:v>
                </c:pt>
                <c:pt idx="8">
                  <c:v>163.32057112477003</c:v>
                </c:pt>
                <c:pt idx="9">
                  <c:v>189.81230285362196</c:v>
                </c:pt>
                <c:pt idx="10">
                  <c:v>193.05596863236477</c:v>
                </c:pt>
                <c:pt idx="11">
                  <c:v>209.07918747151422</c:v>
                </c:pt>
                <c:pt idx="12">
                  <c:v>235.54460941429645</c:v>
                </c:pt>
                <c:pt idx="13">
                  <c:v>266.93961490472935</c:v>
                </c:pt>
                <c:pt idx="14">
                  <c:v>255.55443580228902</c:v>
                </c:pt>
                <c:pt idx="15">
                  <c:v>260.89232695998254</c:v>
                </c:pt>
                <c:pt idx="16">
                  <c:v>261.50025720200273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CO_Data2!$AQ$3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CO_Data2!$AQ$4:$AQ$20</c:f>
              <c:numCache>
                <c:ptCount val="17"/>
                <c:pt idx="0">
                  <c:v>61.78140424408888</c:v>
                </c:pt>
                <c:pt idx="1">
                  <c:v>60.85190778144165</c:v>
                </c:pt>
                <c:pt idx="2">
                  <c:v>67.6281498901588</c:v>
                </c:pt>
                <c:pt idx="3">
                  <c:v>78.02437103275726</c:v>
                </c:pt>
                <c:pt idx="4">
                  <c:v>91.02954166257729</c:v>
                </c:pt>
                <c:pt idx="5">
                  <c:v>78.41141778142894</c:v>
                </c:pt>
                <c:pt idx="6">
                  <c:v>98.05172564321259</c:v>
                </c:pt>
                <c:pt idx="7">
                  <c:v>89.34997890347721</c:v>
                </c:pt>
                <c:pt idx="8">
                  <c:v>87.71911590771616</c:v>
                </c:pt>
                <c:pt idx="9">
                  <c:v>104.07529490649553</c:v>
                </c:pt>
                <c:pt idx="10">
                  <c:v>106.63082537931592</c:v>
                </c:pt>
                <c:pt idx="11">
                  <c:v>109.4444033925302</c:v>
                </c:pt>
                <c:pt idx="12">
                  <c:v>119.47370575279537</c:v>
                </c:pt>
                <c:pt idx="13">
                  <c:v>131.79581169958632</c:v>
                </c:pt>
                <c:pt idx="14">
                  <c:v>134.222737789213</c:v>
                </c:pt>
                <c:pt idx="15">
                  <c:v>144.89916393862686</c:v>
                </c:pt>
                <c:pt idx="16">
                  <c:v>145.1382388102165</c:v>
                </c:pt>
              </c:numCache>
            </c:numRef>
          </c:yVal>
          <c:smooth val="0"/>
        </c:ser>
        <c:axId val="44103474"/>
        <c:axId val="61386947"/>
      </c:scatterChart>
      <c:valAx>
        <c:axId val="44103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1386947"/>
        <c:crosses val="autoZero"/>
        <c:crossBetween val="midCat"/>
        <c:dispUnits/>
        <c:majorUnit val="1"/>
      </c:valAx>
      <c:valAx>
        <c:axId val="61386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41034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27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CO_Data2!$AK$4:$AK$20</c:f>
              <c:numCache>
                <c:ptCount val="17"/>
                <c:pt idx="0">
                  <c:v>41.48443791298029</c:v>
                </c:pt>
                <c:pt idx="1">
                  <c:v>39.11790843952559</c:v>
                </c:pt>
                <c:pt idx="2">
                  <c:v>45.48329230583179</c:v>
                </c:pt>
                <c:pt idx="3">
                  <c:v>51.85126396904041</c:v>
                </c:pt>
                <c:pt idx="4">
                  <c:v>59.057785540064444</c:v>
                </c:pt>
                <c:pt idx="5">
                  <c:v>49.12783008562656</c:v>
                </c:pt>
                <c:pt idx="6">
                  <c:v>60.822757810863074</c:v>
                </c:pt>
                <c:pt idx="7">
                  <c:v>54.56709727794566</c:v>
                </c:pt>
                <c:pt idx="8">
                  <c:v>51.25879051380484</c:v>
                </c:pt>
                <c:pt idx="9">
                  <c:v>61.6340248601361</c:v>
                </c:pt>
                <c:pt idx="10">
                  <c:v>61.193544133695795</c:v>
                </c:pt>
                <c:pt idx="11">
                  <c:v>58.98177319350337</c:v>
                </c:pt>
                <c:pt idx="12">
                  <c:v>63.43839456867937</c:v>
                </c:pt>
                <c:pt idx="13">
                  <c:v>70.5763170859118</c:v>
                </c:pt>
                <c:pt idx="14">
                  <c:v>73.74271595593385</c:v>
                </c:pt>
                <c:pt idx="15">
                  <c:v>85.75420309272309</c:v>
                </c:pt>
                <c:pt idx="16">
                  <c:v>83.34036229138157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CO_Data2!$AL$4:$AL$20</c:f>
              <c:numCache>
                <c:ptCount val="17"/>
                <c:pt idx="0">
                  <c:v>319.0044257482144</c:v>
                </c:pt>
                <c:pt idx="1">
                  <c:v>313.4796238244514</c:v>
                </c:pt>
                <c:pt idx="2">
                  <c:v>352.36433142192305</c:v>
                </c:pt>
                <c:pt idx="3">
                  <c:v>419.8774543708755</c:v>
                </c:pt>
                <c:pt idx="4">
                  <c:v>494.7922911520907</c:v>
                </c:pt>
                <c:pt idx="5">
                  <c:v>449.16130058033235</c:v>
                </c:pt>
                <c:pt idx="6">
                  <c:v>600.7092142817829</c:v>
                </c:pt>
                <c:pt idx="7">
                  <c:v>529.8669909907118</c:v>
                </c:pt>
                <c:pt idx="8">
                  <c:v>534.0795402402606</c:v>
                </c:pt>
                <c:pt idx="9">
                  <c:v>624.8585673511399</c:v>
                </c:pt>
                <c:pt idx="10">
                  <c:v>677.0792714485242</c:v>
                </c:pt>
                <c:pt idx="11">
                  <c:v>723.5167213524144</c:v>
                </c:pt>
                <c:pt idx="12">
                  <c:v>773.7182296231376</c:v>
                </c:pt>
                <c:pt idx="13">
                  <c:v>800.091747451647</c:v>
                </c:pt>
                <c:pt idx="14">
                  <c:v>832.3062038620068</c:v>
                </c:pt>
                <c:pt idx="15">
                  <c:v>820.7483103191798</c:v>
                </c:pt>
                <c:pt idx="16">
                  <c:v>858.622396527434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CO_Data2!$AM$4:$AM$20</c:f>
              <c:numCache>
                <c:ptCount val="17"/>
                <c:pt idx="0">
                  <c:v>119.20304251575183</c:v>
                </c:pt>
                <c:pt idx="1">
                  <c:v>142.099797781057</c:v>
                </c:pt>
                <c:pt idx="2">
                  <c:v>157.76188472864956</c:v>
                </c:pt>
                <c:pt idx="3">
                  <c:v>106.63687604732647</c:v>
                </c:pt>
                <c:pt idx="4">
                  <c:v>157.16320416482492</c:v>
                </c:pt>
                <c:pt idx="5">
                  <c:v>133.9200306102927</c:v>
                </c:pt>
                <c:pt idx="6">
                  <c:v>153.16067947646894</c:v>
                </c:pt>
                <c:pt idx="7">
                  <c:v>135.11687609782462</c:v>
                </c:pt>
                <c:pt idx="8">
                  <c:v>235.32545955066158</c:v>
                </c:pt>
                <c:pt idx="9">
                  <c:v>362.7882871210158</c:v>
                </c:pt>
                <c:pt idx="10">
                  <c:v>416.24621594349145</c:v>
                </c:pt>
                <c:pt idx="11">
                  <c:v>425.5143352887714</c:v>
                </c:pt>
                <c:pt idx="12">
                  <c:v>433.4791767946848</c:v>
                </c:pt>
                <c:pt idx="13">
                  <c:v>441.9317593661663</c:v>
                </c:pt>
                <c:pt idx="14">
                  <c:v>425.3643166601024</c:v>
                </c:pt>
                <c:pt idx="15">
                  <c:v>375.12568644133347</c:v>
                </c:pt>
                <c:pt idx="16">
                  <c:v>482.1564160971906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CO_Data2!$AN$3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CO_Data2!$AN$4:$AN$20</c:f>
              <c:numCache>
                <c:ptCount val="17"/>
                <c:pt idx="0">
                  <c:v>9.554976948618112</c:v>
                </c:pt>
                <c:pt idx="1">
                  <c:v>13.541267011216682</c:v>
                </c:pt>
                <c:pt idx="2">
                  <c:v>17.073587160662456</c:v>
                </c:pt>
                <c:pt idx="3">
                  <c:v>6.093845216331505</c:v>
                </c:pt>
                <c:pt idx="4">
                  <c:v>9.750199879097522</c:v>
                </c:pt>
                <c:pt idx="5">
                  <c:v>11.317551636329341</c:v>
                </c:pt>
                <c:pt idx="6">
                  <c:v>23.585333551044105</c:v>
                </c:pt>
                <c:pt idx="7">
                  <c:v>8.667464073361415</c:v>
                </c:pt>
                <c:pt idx="8">
                  <c:v>26.746907388833165</c:v>
                </c:pt>
                <c:pt idx="9">
                  <c:v>17.224910352171122</c:v>
                </c:pt>
                <c:pt idx="10">
                  <c:v>19.13199605586543</c:v>
                </c:pt>
                <c:pt idx="11">
                  <c:v>29.288702928870293</c:v>
                </c:pt>
                <c:pt idx="12">
                  <c:v>29.00117322928064</c:v>
                </c:pt>
                <c:pt idx="13">
                  <c:v>26.510130657072526</c:v>
                </c:pt>
                <c:pt idx="14">
                  <c:v>30.103797895142453</c:v>
                </c:pt>
                <c:pt idx="15">
                  <c:v>32.064495442261006</c:v>
                </c:pt>
                <c:pt idx="16">
                  <c:v>39.43001719586861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CO_Data2!$AO$3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CO_Data2!$AO$4:$AO$20</c:f>
              <c:numCache>
                <c:ptCount val="17"/>
                <c:pt idx="0">
                  <c:v>125.80843815167316</c:v>
                </c:pt>
                <c:pt idx="1">
                  <c:v>132.75047577563095</c:v>
                </c:pt>
                <c:pt idx="2">
                  <c:v>130.28520245099037</c:v>
                </c:pt>
                <c:pt idx="3">
                  <c:v>153.6521155944385</c:v>
                </c:pt>
                <c:pt idx="4">
                  <c:v>182.54855472157047</c:v>
                </c:pt>
                <c:pt idx="5">
                  <c:v>159.33530259156322</c:v>
                </c:pt>
                <c:pt idx="6">
                  <c:v>188.35362676342498</c:v>
                </c:pt>
                <c:pt idx="7">
                  <c:v>181.58859679629168</c:v>
                </c:pt>
                <c:pt idx="8">
                  <c:v>178.183931214193</c:v>
                </c:pt>
                <c:pt idx="9">
                  <c:v>205.1764911973373</c:v>
                </c:pt>
                <c:pt idx="10">
                  <c:v>206.71737013532118</c:v>
                </c:pt>
                <c:pt idx="11">
                  <c:v>224.55952951743978</c:v>
                </c:pt>
                <c:pt idx="12">
                  <c:v>256.5310309121839</c:v>
                </c:pt>
                <c:pt idx="13">
                  <c:v>294.39322389625966</c:v>
                </c:pt>
                <c:pt idx="14">
                  <c:v>281.4557336271305</c:v>
                </c:pt>
                <c:pt idx="15">
                  <c:v>290.338255307449</c:v>
                </c:pt>
                <c:pt idx="16">
                  <c:v>285.4624558055078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CO_Data2!$AQ$3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CO_Data2!$AQ$4:$AQ$20</c:f>
              <c:numCache>
                <c:ptCount val="17"/>
                <c:pt idx="0">
                  <c:v>61.78140424408888</c:v>
                </c:pt>
                <c:pt idx="1">
                  <c:v>60.85190778144165</c:v>
                </c:pt>
                <c:pt idx="2">
                  <c:v>67.6281498901588</c:v>
                </c:pt>
                <c:pt idx="3">
                  <c:v>78.02437103275726</c:v>
                </c:pt>
                <c:pt idx="4">
                  <c:v>91.02954166257729</c:v>
                </c:pt>
                <c:pt idx="5">
                  <c:v>78.41141778142894</c:v>
                </c:pt>
                <c:pt idx="6">
                  <c:v>98.05172564321259</c:v>
                </c:pt>
                <c:pt idx="7">
                  <c:v>89.34997890347721</c:v>
                </c:pt>
                <c:pt idx="8">
                  <c:v>87.71911590771616</c:v>
                </c:pt>
                <c:pt idx="9">
                  <c:v>104.07529490649553</c:v>
                </c:pt>
                <c:pt idx="10">
                  <c:v>106.63082537931592</c:v>
                </c:pt>
                <c:pt idx="11">
                  <c:v>109.4444033925302</c:v>
                </c:pt>
                <c:pt idx="12">
                  <c:v>119.47370575279537</c:v>
                </c:pt>
                <c:pt idx="13">
                  <c:v>131.79581169958632</c:v>
                </c:pt>
                <c:pt idx="14">
                  <c:v>134.222737789213</c:v>
                </c:pt>
                <c:pt idx="15">
                  <c:v>144.89916393862686</c:v>
                </c:pt>
                <c:pt idx="16">
                  <c:v>145.1382388102165</c:v>
                </c:pt>
              </c:numCache>
            </c:numRef>
          </c:yVal>
          <c:smooth val="0"/>
        </c:ser>
        <c:axId val="15611612"/>
        <c:axId val="6286781"/>
      </c:scatterChart>
      <c:valAx>
        <c:axId val="15611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286781"/>
        <c:crosses val="autoZero"/>
        <c:crossBetween val="midCat"/>
        <c:dispUnits/>
        <c:majorUnit val="1"/>
      </c:valAx>
      <c:valAx>
        <c:axId val="6286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6116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57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CO_Data2!$K$25:$K$41</c:f>
              <c:numCache>
                <c:ptCount val="17"/>
                <c:pt idx="0">
                  <c:v>1000</c:v>
                </c:pt>
                <c:pt idx="1">
                  <c:v>809</c:v>
                </c:pt>
                <c:pt idx="2">
                  <c:v>1066</c:v>
                </c:pt>
                <c:pt idx="3">
                  <c:v>1162</c:v>
                </c:pt>
                <c:pt idx="4">
                  <c:v>1280</c:v>
                </c:pt>
                <c:pt idx="5">
                  <c:v>1100</c:v>
                </c:pt>
                <c:pt idx="6">
                  <c:v>1427</c:v>
                </c:pt>
                <c:pt idx="7">
                  <c:v>1227</c:v>
                </c:pt>
                <c:pt idx="8">
                  <c:v>1192</c:v>
                </c:pt>
                <c:pt idx="9">
                  <c:v>1475</c:v>
                </c:pt>
                <c:pt idx="10">
                  <c:v>1462</c:v>
                </c:pt>
                <c:pt idx="11">
                  <c:v>1416</c:v>
                </c:pt>
                <c:pt idx="12">
                  <c:v>1589</c:v>
                </c:pt>
                <c:pt idx="13">
                  <c:v>1875</c:v>
                </c:pt>
                <c:pt idx="14">
                  <c:v>1894</c:v>
                </c:pt>
                <c:pt idx="15">
                  <c:v>2188</c:v>
                </c:pt>
                <c:pt idx="16">
                  <c:v>2000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CO_Data2!$L$25:$L$41</c:f>
              <c:numCache>
                <c:ptCount val="17"/>
                <c:pt idx="0">
                  <c:v>308</c:v>
                </c:pt>
                <c:pt idx="1">
                  <c:v>232</c:v>
                </c:pt>
                <c:pt idx="2">
                  <c:v>334</c:v>
                </c:pt>
                <c:pt idx="3">
                  <c:v>403</c:v>
                </c:pt>
                <c:pt idx="4">
                  <c:v>470</c:v>
                </c:pt>
                <c:pt idx="5">
                  <c:v>460</c:v>
                </c:pt>
                <c:pt idx="6">
                  <c:v>685</c:v>
                </c:pt>
                <c:pt idx="7">
                  <c:v>533</c:v>
                </c:pt>
                <c:pt idx="8">
                  <c:v>567</c:v>
                </c:pt>
                <c:pt idx="9">
                  <c:v>684</c:v>
                </c:pt>
                <c:pt idx="10">
                  <c:v>763</c:v>
                </c:pt>
                <c:pt idx="11">
                  <c:v>805</c:v>
                </c:pt>
                <c:pt idx="12">
                  <c:v>942</c:v>
                </c:pt>
                <c:pt idx="13">
                  <c:v>948</c:v>
                </c:pt>
                <c:pt idx="14">
                  <c:v>937</c:v>
                </c:pt>
                <c:pt idx="15">
                  <c:v>865</c:v>
                </c:pt>
                <c:pt idx="16">
                  <c:v>783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CO_Data2!$M$24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CO_Data2!$M$25:$M$41</c:f>
              <c:numCache>
                <c:ptCount val="17"/>
                <c:pt idx="0">
                  <c:v>467</c:v>
                </c:pt>
                <c:pt idx="1">
                  <c:v>430</c:v>
                </c:pt>
                <c:pt idx="2">
                  <c:v>513</c:v>
                </c:pt>
                <c:pt idx="3">
                  <c:v>531</c:v>
                </c:pt>
                <c:pt idx="4">
                  <c:v>610</c:v>
                </c:pt>
                <c:pt idx="5">
                  <c:v>602</c:v>
                </c:pt>
                <c:pt idx="6">
                  <c:v>942</c:v>
                </c:pt>
                <c:pt idx="7">
                  <c:v>880</c:v>
                </c:pt>
                <c:pt idx="8">
                  <c:v>777</c:v>
                </c:pt>
                <c:pt idx="9">
                  <c:v>1147</c:v>
                </c:pt>
                <c:pt idx="10">
                  <c:v>924</c:v>
                </c:pt>
                <c:pt idx="11">
                  <c:v>1364</c:v>
                </c:pt>
                <c:pt idx="12">
                  <c:v>1344</c:v>
                </c:pt>
                <c:pt idx="13">
                  <c:v>1517</c:v>
                </c:pt>
                <c:pt idx="14">
                  <c:v>1536</c:v>
                </c:pt>
                <c:pt idx="15">
                  <c:v>1533</c:v>
                </c:pt>
                <c:pt idx="16">
                  <c:v>1425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CO_Data2!$N$24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CO_Data2!$N$25:$N$41</c:f>
              <c:numCache>
                <c:ptCount val="17"/>
                <c:pt idx="0">
                  <c:v>1775</c:v>
                </c:pt>
                <c:pt idx="1">
                  <c:v>1471</c:v>
                </c:pt>
                <c:pt idx="2">
                  <c:v>1913</c:v>
                </c:pt>
                <c:pt idx="3">
                  <c:v>2096</c:v>
                </c:pt>
                <c:pt idx="4">
                  <c:v>2360</c:v>
                </c:pt>
                <c:pt idx="5">
                  <c:v>2162</c:v>
                </c:pt>
                <c:pt idx="6">
                  <c:v>3054</c:v>
                </c:pt>
                <c:pt idx="7">
                  <c:v>2640</c:v>
                </c:pt>
                <c:pt idx="8">
                  <c:v>2536</c:v>
                </c:pt>
                <c:pt idx="9">
                  <c:v>3306</c:v>
                </c:pt>
                <c:pt idx="10">
                  <c:v>3149</c:v>
                </c:pt>
                <c:pt idx="11">
                  <c:v>3585</c:v>
                </c:pt>
                <c:pt idx="12">
                  <c:v>3875</c:v>
                </c:pt>
                <c:pt idx="13">
                  <c:v>4340</c:v>
                </c:pt>
                <c:pt idx="14">
                  <c:v>4367</c:v>
                </c:pt>
                <c:pt idx="15">
                  <c:v>4586</c:v>
                </c:pt>
                <c:pt idx="16">
                  <c:v>4208</c:v>
                </c:pt>
              </c:numCache>
            </c:numRef>
          </c:yVal>
          <c:smooth val="0"/>
        </c:ser>
        <c:axId val="56581030"/>
        <c:axId val="39467223"/>
      </c:scatterChart>
      <c:valAx>
        <c:axId val="56581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9467223"/>
        <c:crosses val="autoZero"/>
        <c:crossBetween val="midCat"/>
        <c:dispUnits/>
        <c:majorUnit val="1"/>
      </c:valAx>
      <c:valAx>
        <c:axId val="39467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65810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COLORADO</a:t>
            </a:r>
          </a:p>
        </c:rich>
      </c:tx>
      <c:layout>
        <c:manualLayout>
          <c:xMode val="factor"/>
          <c:yMode val="factor"/>
          <c:x val="0.041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CO_Data2!$B$24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CO_Data2!$B$25:$B$41</c:f>
              <c:numCache>
                <c:ptCount val="17"/>
                <c:pt idx="0">
                  <c:v>916</c:v>
                </c:pt>
                <c:pt idx="1">
                  <c:v>755</c:v>
                </c:pt>
                <c:pt idx="2">
                  <c:v>990</c:v>
                </c:pt>
                <c:pt idx="3">
                  <c:v>1104</c:v>
                </c:pt>
                <c:pt idx="4">
                  <c:v>1233</c:v>
                </c:pt>
                <c:pt idx="5">
                  <c:v>1062</c:v>
                </c:pt>
                <c:pt idx="6">
                  <c:v>1354</c:v>
                </c:pt>
                <c:pt idx="7">
                  <c:v>1161</c:v>
                </c:pt>
                <c:pt idx="8">
                  <c:v>1161</c:v>
                </c:pt>
                <c:pt idx="9">
                  <c:v>1364</c:v>
                </c:pt>
                <c:pt idx="10">
                  <c:v>1354</c:v>
                </c:pt>
                <c:pt idx="11">
                  <c:v>1297</c:v>
                </c:pt>
                <c:pt idx="12">
                  <c:v>1452</c:v>
                </c:pt>
                <c:pt idx="13">
                  <c:v>1681</c:v>
                </c:pt>
                <c:pt idx="14">
                  <c:v>1713</c:v>
                </c:pt>
                <c:pt idx="15">
                  <c:v>1971</c:v>
                </c:pt>
                <c:pt idx="16">
                  <c:v>1780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CO_Data2!$C$24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CO_Data2!$C$25:$C$41</c:f>
              <c:numCache>
                <c:ptCount val="17"/>
                <c:pt idx="0">
                  <c:v>288</c:v>
                </c:pt>
                <c:pt idx="1">
                  <c:v>220</c:v>
                </c:pt>
                <c:pt idx="2">
                  <c:v>316</c:v>
                </c:pt>
                <c:pt idx="3">
                  <c:v>389</c:v>
                </c:pt>
                <c:pt idx="4">
                  <c:v>456</c:v>
                </c:pt>
                <c:pt idx="5">
                  <c:v>447</c:v>
                </c:pt>
                <c:pt idx="6">
                  <c:v>646</c:v>
                </c:pt>
                <c:pt idx="7">
                  <c:v>502</c:v>
                </c:pt>
                <c:pt idx="8">
                  <c:v>556</c:v>
                </c:pt>
                <c:pt idx="9">
                  <c:v>639</c:v>
                </c:pt>
                <c:pt idx="10">
                  <c:v>700</c:v>
                </c:pt>
                <c:pt idx="11">
                  <c:v>745</c:v>
                </c:pt>
                <c:pt idx="12">
                  <c:v>850</c:v>
                </c:pt>
                <c:pt idx="13">
                  <c:v>859</c:v>
                </c:pt>
                <c:pt idx="14">
                  <c:v>874</c:v>
                </c:pt>
                <c:pt idx="15">
                  <c:v>801</c:v>
                </c:pt>
                <c:pt idx="16">
                  <c:v>711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CO_Data2!$D$25:$D$41</c:f>
              <c:numCache>
                <c:ptCount val="17"/>
                <c:pt idx="0">
                  <c:v>17</c:v>
                </c:pt>
                <c:pt idx="1">
                  <c:v>16</c:v>
                </c:pt>
                <c:pt idx="2">
                  <c:v>22</c:v>
                </c:pt>
                <c:pt idx="3">
                  <c:v>18</c:v>
                </c:pt>
                <c:pt idx="4">
                  <c:v>25</c:v>
                </c:pt>
                <c:pt idx="5">
                  <c:v>23</c:v>
                </c:pt>
                <c:pt idx="6">
                  <c:v>28</c:v>
                </c:pt>
                <c:pt idx="7">
                  <c:v>22</c:v>
                </c:pt>
                <c:pt idx="8">
                  <c:v>40</c:v>
                </c:pt>
                <c:pt idx="9">
                  <c:v>60</c:v>
                </c:pt>
                <c:pt idx="10">
                  <c:v>79</c:v>
                </c:pt>
                <c:pt idx="11">
                  <c:v>74</c:v>
                </c:pt>
                <c:pt idx="12">
                  <c:v>82</c:v>
                </c:pt>
                <c:pt idx="13">
                  <c:v>75</c:v>
                </c:pt>
                <c:pt idx="14">
                  <c:v>74</c:v>
                </c:pt>
                <c:pt idx="15">
                  <c:v>68</c:v>
                </c:pt>
                <c:pt idx="16">
                  <c:v>81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CO_Data2!$E$24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CO_Data2!$E$25:$E$41</c:f>
              <c:numCache>
                <c:ptCount val="17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13</c:v>
                </c:pt>
                <c:pt idx="7">
                  <c:v>5</c:v>
                </c:pt>
                <c:pt idx="8">
                  <c:v>14</c:v>
                </c:pt>
                <c:pt idx="9">
                  <c:v>10</c:v>
                </c:pt>
                <c:pt idx="10">
                  <c:v>13</c:v>
                </c:pt>
                <c:pt idx="11">
                  <c:v>19</c:v>
                </c:pt>
                <c:pt idx="12">
                  <c:v>20</c:v>
                </c:pt>
                <c:pt idx="13">
                  <c:v>19</c:v>
                </c:pt>
                <c:pt idx="14">
                  <c:v>22</c:v>
                </c:pt>
                <c:pt idx="15">
                  <c:v>24</c:v>
                </c:pt>
                <c:pt idx="16">
                  <c:v>32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CO_Data2!$F$24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CO_Data2!$F$25:$F$41</c:f>
              <c:numCache>
                <c:ptCount val="17"/>
                <c:pt idx="0">
                  <c:v>390</c:v>
                </c:pt>
                <c:pt idx="1">
                  <c:v>283</c:v>
                </c:pt>
                <c:pt idx="2">
                  <c:v>403</c:v>
                </c:pt>
                <c:pt idx="3">
                  <c:v>451</c:v>
                </c:pt>
                <c:pt idx="4">
                  <c:v>538</c:v>
                </c:pt>
                <c:pt idx="5">
                  <c:v>511</c:v>
                </c:pt>
                <c:pt idx="6">
                  <c:v>620</c:v>
                </c:pt>
                <c:pt idx="7">
                  <c:v>590</c:v>
                </c:pt>
                <c:pt idx="8">
                  <c:v>641</c:v>
                </c:pt>
                <c:pt idx="9">
                  <c:v>729</c:v>
                </c:pt>
                <c:pt idx="10">
                  <c:v>733</c:v>
                </c:pt>
                <c:pt idx="11">
                  <c:v>872</c:v>
                </c:pt>
                <c:pt idx="12">
                  <c:v>1076</c:v>
                </c:pt>
                <c:pt idx="13">
                  <c:v>1218</c:v>
                </c:pt>
                <c:pt idx="14">
                  <c:v>1189</c:v>
                </c:pt>
                <c:pt idx="15">
                  <c:v>1236</c:v>
                </c:pt>
                <c:pt idx="16">
                  <c:v>1140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CO_Data2!$G$24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CO_Data2!$G$25:$G$41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CO_Data2!$N$3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CO_Data2!$H$25:$H$41</c:f>
              <c:numCache>
                <c:ptCount val="17"/>
                <c:pt idx="0">
                  <c:v>1615</c:v>
                </c:pt>
                <c:pt idx="1">
                  <c:v>1279</c:v>
                </c:pt>
                <c:pt idx="2">
                  <c:v>1739</c:v>
                </c:pt>
                <c:pt idx="3">
                  <c:v>1965</c:v>
                </c:pt>
                <c:pt idx="4">
                  <c:v>2255</c:v>
                </c:pt>
                <c:pt idx="5">
                  <c:v>2047</c:v>
                </c:pt>
                <c:pt idx="6">
                  <c:v>2661</c:v>
                </c:pt>
                <c:pt idx="7">
                  <c:v>2280</c:v>
                </c:pt>
                <c:pt idx="8">
                  <c:v>2412</c:v>
                </c:pt>
                <c:pt idx="9">
                  <c:v>2802</c:v>
                </c:pt>
                <c:pt idx="10">
                  <c:v>2879</c:v>
                </c:pt>
                <c:pt idx="11">
                  <c:v>3007</c:v>
                </c:pt>
                <c:pt idx="12">
                  <c:v>3480</c:v>
                </c:pt>
                <c:pt idx="13">
                  <c:v>3852</c:v>
                </c:pt>
                <c:pt idx="14">
                  <c:v>3872</c:v>
                </c:pt>
                <c:pt idx="15">
                  <c:v>4100</c:v>
                </c:pt>
                <c:pt idx="16">
                  <c:v>3744</c:v>
                </c:pt>
              </c:numCache>
            </c:numRef>
          </c:yVal>
          <c:smooth val="0"/>
        </c:ser>
        <c:axId val="19660688"/>
        <c:axId val="42728465"/>
      </c:scatterChart>
      <c:valAx>
        <c:axId val="19660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2728465"/>
        <c:crosses val="autoZero"/>
        <c:crossBetween val="midCat"/>
        <c:dispUnits/>
        <c:majorUnit val="1"/>
      </c:valAx>
      <c:valAx>
        <c:axId val="42728465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9660688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CO_Data2!$AK$25:$AK$41</c:f>
              <c:numCache>
                <c:ptCount val="17"/>
                <c:pt idx="0">
                  <c:v>35.48062103481787</c:v>
                </c:pt>
                <c:pt idx="1">
                  <c:v>28.98333746009992</c:v>
                </c:pt>
                <c:pt idx="2">
                  <c:v>37.64921353074705</c:v>
                </c:pt>
                <c:pt idx="3">
                  <c:v>41.72288296051065</c:v>
                </c:pt>
                <c:pt idx="4">
                  <c:v>46.41061158119787</c:v>
                </c:pt>
                <c:pt idx="5">
                  <c:v>40.07200887168619</c:v>
                </c:pt>
                <c:pt idx="6">
                  <c:v>51.02479186859269</c:v>
                </c:pt>
                <c:pt idx="7">
                  <c:v>43.541168343432936</c:v>
                </c:pt>
                <c:pt idx="8">
                  <c:v>42.81399696872476</c:v>
                </c:pt>
                <c:pt idx="9">
                  <c:v>49.07694682383283</c:v>
                </c:pt>
                <c:pt idx="10">
                  <c:v>47.48198209571582</c:v>
                </c:pt>
                <c:pt idx="11">
                  <c:v>44.42471534957832</c:v>
                </c:pt>
                <c:pt idx="12">
                  <c:v>48.76259868381283</c:v>
                </c:pt>
                <c:pt idx="13">
                  <c:v>55.54250422351017</c:v>
                </c:pt>
                <c:pt idx="14">
                  <c:v>55.69721006724633</c:v>
                </c:pt>
                <c:pt idx="15">
                  <c:v>63.114837302373864</c:v>
                </c:pt>
                <c:pt idx="16">
                  <c:v>56.021844742696075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CO_Data2!$AL$25:$AL$41</c:f>
              <c:numCache>
                <c:ptCount val="17"/>
                <c:pt idx="0">
                  <c:v>252.3991060864993</c:v>
                </c:pt>
                <c:pt idx="1">
                  <c:v>188.43037497644622</c:v>
                </c:pt>
                <c:pt idx="2">
                  <c:v>262.6111526635087</c:v>
                </c:pt>
                <c:pt idx="3">
                  <c:v>316.5355227718422</c:v>
                </c:pt>
                <c:pt idx="4">
                  <c:v>364.49965228651587</c:v>
                </c:pt>
                <c:pt idx="5">
                  <c:v>355.3541616980682</c:v>
                </c:pt>
                <c:pt idx="6">
                  <c:v>507.9295188822406</c:v>
                </c:pt>
                <c:pt idx="7">
                  <c:v>388.87899046394347</c:v>
                </c:pt>
                <c:pt idx="8">
                  <c:v>418.2369357374435</c:v>
                </c:pt>
                <c:pt idx="9">
                  <c:v>466.4540006277785</c:v>
                </c:pt>
                <c:pt idx="10">
                  <c:v>496.2884712188136</c:v>
                </c:pt>
                <c:pt idx="11">
                  <c:v>516.7976581088674</c:v>
                </c:pt>
                <c:pt idx="12">
                  <c:v>582.0004382120947</c:v>
                </c:pt>
                <c:pt idx="13">
                  <c:v>579.4930953296499</c:v>
                </c:pt>
                <c:pt idx="14">
                  <c:v>579.168488993148</c:v>
                </c:pt>
                <c:pt idx="15">
                  <c:v>518.0609902014681</c:v>
                </c:pt>
                <c:pt idx="16">
                  <c:v>451.2051174656361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CO_Data2!$AR$24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CO_Data2!$AR$25:$AR$41</c:f>
              <c:numCache>
                <c:ptCount val="17"/>
                <c:pt idx="0">
                  <c:v>93.87140759147894</c:v>
                </c:pt>
                <c:pt idx="1">
                  <c:v>67.81294334942403</c:v>
                </c:pt>
                <c:pt idx="2">
                  <c:v>94.3651167250728</c:v>
                </c:pt>
                <c:pt idx="3">
                  <c:v>100.74125930842834</c:v>
                </c:pt>
                <c:pt idx="4">
                  <c:v>118.24751335507472</c:v>
                </c:pt>
                <c:pt idx="5">
                  <c:v>110.64017060796569</c:v>
                </c:pt>
                <c:pt idx="6">
                  <c:v>133.52807018607066</c:v>
                </c:pt>
                <c:pt idx="7">
                  <c:v>121.37760632343885</c:v>
                </c:pt>
                <c:pt idx="8">
                  <c:v>132.913111161259</c:v>
                </c:pt>
                <c:pt idx="9">
                  <c:v>146.95739339151547</c:v>
                </c:pt>
                <c:pt idx="10">
                  <c:v>145.18794359316402</c:v>
                </c:pt>
                <c:pt idx="11">
                  <c:v>163.50195778769145</c:v>
                </c:pt>
                <c:pt idx="12">
                  <c:v>191.75642701454126</c:v>
                </c:pt>
                <c:pt idx="13">
                  <c:v>205.65165869348496</c:v>
                </c:pt>
                <c:pt idx="14">
                  <c:v>193.2827839940797</c:v>
                </c:pt>
                <c:pt idx="15">
                  <c:v>192.05377505701597</c:v>
                </c:pt>
                <c:pt idx="16">
                  <c:v>173.7326735281598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CO_Data2!$AQ$24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CO_Data2!$AQ$25:$AQ$41</c:f>
              <c:numCache>
                <c:ptCount val="17"/>
                <c:pt idx="0">
                  <c:v>51.53769000733654</c:v>
                </c:pt>
                <c:pt idx="1">
                  <c:v>40.34711770475058</c:v>
                </c:pt>
                <c:pt idx="2">
                  <c:v>54.196015050224034</c:v>
                </c:pt>
                <c:pt idx="3">
                  <c:v>60.69591808367697</c:v>
                </c:pt>
                <c:pt idx="4">
                  <c:v>69.16159583864952</c:v>
                </c:pt>
                <c:pt idx="5">
                  <c:v>62.7475262699707</c:v>
                </c:pt>
                <c:pt idx="6">
                  <c:v>81.23151990553822</c:v>
                </c:pt>
                <c:pt idx="7">
                  <c:v>69.01014630756369</c:v>
                </c:pt>
                <c:pt idx="8">
                  <c:v>71.62441014536608</c:v>
                </c:pt>
                <c:pt idx="9">
                  <c:v>80.9827759866705</c:v>
                </c:pt>
                <c:pt idx="10">
                  <c:v>80.85071010456954</c:v>
                </c:pt>
                <c:pt idx="11">
                  <c:v>82.29540410135992</c:v>
                </c:pt>
                <c:pt idx="12">
                  <c:v>93.0963940930873</c:v>
                </c:pt>
                <c:pt idx="13">
                  <c:v>101.03034162523514</c:v>
                </c:pt>
                <c:pt idx="14">
                  <c:v>99.50420078878666</c:v>
                </c:pt>
                <c:pt idx="15">
                  <c:v>103.30143838434535</c:v>
                </c:pt>
                <c:pt idx="16">
                  <c:v>92.30466555214042</c:v>
                </c:pt>
              </c:numCache>
            </c:numRef>
          </c:yVal>
          <c:smooth val="0"/>
        </c:ser>
        <c:axId val="49011866"/>
        <c:axId val="38453611"/>
      </c:scatterChart>
      <c:valAx>
        <c:axId val="49011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8453611"/>
        <c:crosses val="autoZero"/>
        <c:crossBetween val="midCat"/>
        <c:dispUnits/>
        <c:majorUnit val="1"/>
      </c:valAx>
      <c:valAx>
        <c:axId val="38453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90118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CO_Data2!$AK$25:$AK$41</c:f>
              <c:numCache>
                <c:ptCount val="17"/>
                <c:pt idx="0">
                  <c:v>35.48062103481787</c:v>
                </c:pt>
                <c:pt idx="1">
                  <c:v>28.98333746009992</c:v>
                </c:pt>
                <c:pt idx="2">
                  <c:v>37.64921353074705</c:v>
                </c:pt>
                <c:pt idx="3">
                  <c:v>41.72288296051065</c:v>
                </c:pt>
                <c:pt idx="4">
                  <c:v>46.41061158119787</c:v>
                </c:pt>
                <c:pt idx="5">
                  <c:v>40.07200887168619</c:v>
                </c:pt>
                <c:pt idx="6">
                  <c:v>51.02479186859269</c:v>
                </c:pt>
                <c:pt idx="7">
                  <c:v>43.541168343432936</c:v>
                </c:pt>
                <c:pt idx="8">
                  <c:v>42.81399696872476</c:v>
                </c:pt>
                <c:pt idx="9">
                  <c:v>49.07694682383283</c:v>
                </c:pt>
                <c:pt idx="10">
                  <c:v>47.48198209571582</c:v>
                </c:pt>
                <c:pt idx="11">
                  <c:v>44.42471534957832</c:v>
                </c:pt>
                <c:pt idx="12">
                  <c:v>48.76259868381283</c:v>
                </c:pt>
                <c:pt idx="13">
                  <c:v>55.54250422351017</c:v>
                </c:pt>
                <c:pt idx="14">
                  <c:v>55.69721006724633</c:v>
                </c:pt>
                <c:pt idx="15">
                  <c:v>63.114837302373864</c:v>
                </c:pt>
                <c:pt idx="16">
                  <c:v>56.021844742696075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CO_Data2!$AL$25:$AL$41</c:f>
              <c:numCache>
                <c:ptCount val="17"/>
                <c:pt idx="0">
                  <c:v>252.3991060864993</c:v>
                </c:pt>
                <c:pt idx="1">
                  <c:v>188.43037497644622</c:v>
                </c:pt>
                <c:pt idx="2">
                  <c:v>262.6111526635087</c:v>
                </c:pt>
                <c:pt idx="3">
                  <c:v>316.5355227718422</c:v>
                </c:pt>
                <c:pt idx="4">
                  <c:v>364.49965228651587</c:v>
                </c:pt>
                <c:pt idx="5">
                  <c:v>355.3541616980682</c:v>
                </c:pt>
                <c:pt idx="6">
                  <c:v>507.9295188822406</c:v>
                </c:pt>
                <c:pt idx="7">
                  <c:v>388.87899046394347</c:v>
                </c:pt>
                <c:pt idx="8">
                  <c:v>418.2369357374435</c:v>
                </c:pt>
                <c:pt idx="9">
                  <c:v>466.4540006277785</c:v>
                </c:pt>
                <c:pt idx="10">
                  <c:v>496.2884712188136</c:v>
                </c:pt>
                <c:pt idx="11">
                  <c:v>516.7976581088674</c:v>
                </c:pt>
                <c:pt idx="12">
                  <c:v>582.0004382120947</c:v>
                </c:pt>
                <c:pt idx="13">
                  <c:v>579.4930953296499</c:v>
                </c:pt>
                <c:pt idx="14">
                  <c:v>579.168488993148</c:v>
                </c:pt>
                <c:pt idx="15">
                  <c:v>518.0609902014681</c:v>
                </c:pt>
                <c:pt idx="16">
                  <c:v>451.2051174656361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CO_Data2!$AM$25:$AM$41</c:f>
              <c:numCache>
                <c:ptCount val="17"/>
                <c:pt idx="0">
                  <c:v>96.49770108418005</c:v>
                </c:pt>
                <c:pt idx="1">
                  <c:v>87.4460294037274</c:v>
                </c:pt>
                <c:pt idx="2">
                  <c:v>115.69204880100968</c:v>
                </c:pt>
                <c:pt idx="3">
                  <c:v>91.40303661199411</c:v>
                </c:pt>
                <c:pt idx="4">
                  <c:v>122.78375325376946</c:v>
                </c:pt>
                <c:pt idx="5">
                  <c:v>110.00573942988329</c:v>
                </c:pt>
                <c:pt idx="6">
                  <c:v>129.9545159194282</c:v>
                </c:pt>
                <c:pt idx="7">
                  <c:v>99.08570913840472</c:v>
                </c:pt>
                <c:pt idx="8">
                  <c:v>177.60412041559366</c:v>
                </c:pt>
                <c:pt idx="9">
                  <c:v>259.1344908007256</c:v>
                </c:pt>
                <c:pt idx="10">
                  <c:v>332.1560713084426</c:v>
                </c:pt>
                <c:pt idx="11">
                  <c:v>305.70932826571925</c:v>
                </c:pt>
                <c:pt idx="12">
                  <c:v>332.19899530059956</c:v>
                </c:pt>
                <c:pt idx="13">
                  <c:v>298.60254011227454</c:v>
                </c:pt>
                <c:pt idx="14">
                  <c:v>291.45332808192205</c:v>
                </c:pt>
                <c:pt idx="15">
                  <c:v>262.9747080207286</c:v>
                </c:pt>
                <c:pt idx="16">
                  <c:v>307.51708428246013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CO_Data2!$AN$24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CO_Data2!$AN$25:$AN$41</c:f>
              <c:numCache>
                <c:ptCount val="17"/>
                <c:pt idx="0">
                  <c:v>9.554976948618112</c:v>
                </c:pt>
                <c:pt idx="1">
                  <c:v>11.284389176013903</c:v>
                </c:pt>
                <c:pt idx="2">
                  <c:v>17.073587160662456</c:v>
                </c:pt>
                <c:pt idx="3">
                  <c:v>6.093845216331505</c:v>
                </c:pt>
                <c:pt idx="4">
                  <c:v>5.850119927458513</c:v>
                </c:pt>
                <c:pt idx="5">
                  <c:v>7.54503442421956</c:v>
                </c:pt>
                <c:pt idx="6">
                  <c:v>23.585333551044105</c:v>
                </c:pt>
                <c:pt idx="7">
                  <c:v>8.667464073361415</c:v>
                </c:pt>
                <c:pt idx="8">
                  <c:v>23.40354396522902</c:v>
                </c:pt>
                <c:pt idx="9">
                  <c:v>15.659009411064657</c:v>
                </c:pt>
                <c:pt idx="10">
                  <c:v>19.13199605586543</c:v>
                </c:pt>
                <c:pt idx="11">
                  <c:v>26.499302649930264</c:v>
                </c:pt>
                <c:pt idx="12">
                  <c:v>26.364702935709673</c:v>
                </c:pt>
                <c:pt idx="13">
                  <c:v>23.985356308779902</c:v>
                </c:pt>
                <c:pt idx="14">
                  <c:v>26.49134214772536</c:v>
                </c:pt>
                <c:pt idx="15">
                  <c:v>27.48385323622372</c:v>
                </c:pt>
                <c:pt idx="16">
                  <c:v>35.04890417410543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CO_Data2!$AO$24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CO_Data2!$AO$25:$AO$41</c:f>
              <c:numCache>
                <c:ptCount val="17"/>
                <c:pt idx="0">
                  <c:v>103.07834218309355</c:v>
                </c:pt>
                <c:pt idx="1">
                  <c:v>73.37575125879602</c:v>
                </c:pt>
                <c:pt idx="2">
                  <c:v>102.54870427294749</c:v>
                </c:pt>
                <c:pt idx="3">
                  <c:v>112.86173311578463</c:v>
                </c:pt>
                <c:pt idx="4">
                  <c:v>132.1818606193875</c:v>
                </c:pt>
                <c:pt idx="5">
                  <c:v>123.92745757121585</c:v>
                </c:pt>
                <c:pt idx="6">
                  <c:v>148.197015981375</c:v>
                </c:pt>
                <c:pt idx="7">
                  <c:v>137.70857597662223</c:v>
                </c:pt>
                <c:pt idx="8">
                  <c:v>145.49796166662128</c:v>
                </c:pt>
                <c:pt idx="9">
                  <c:v>159.6303757554524</c:v>
                </c:pt>
                <c:pt idx="10">
                  <c:v>153.83130183674155</c:v>
                </c:pt>
                <c:pt idx="11">
                  <c:v>176.41072949478152</c:v>
                </c:pt>
                <c:pt idx="12">
                  <c:v>209.42897516047788</c:v>
                </c:pt>
                <c:pt idx="13">
                  <c:v>228.24375983809307</c:v>
                </c:pt>
                <c:pt idx="14">
                  <c:v>213.69787182800647</c:v>
                </c:pt>
                <c:pt idx="15">
                  <c:v>213.73322427635915</c:v>
                </c:pt>
                <c:pt idx="16">
                  <c:v>188.87243158344683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CO_Data2!$AQ$24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CO_Data2!$AQ$25:$AQ$41</c:f>
              <c:numCache>
                <c:ptCount val="17"/>
                <c:pt idx="0">
                  <c:v>51.53769000733654</c:v>
                </c:pt>
                <c:pt idx="1">
                  <c:v>40.34711770475058</c:v>
                </c:pt>
                <c:pt idx="2">
                  <c:v>54.196015050224034</c:v>
                </c:pt>
                <c:pt idx="3">
                  <c:v>60.69591808367697</c:v>
                </c:pt>
                <c:pt idx="4">
                  <c:v>69.16159583864952</c:v>
                </c:pt>
                <c:pt idx="5">
                  <c:v>62.7475262699707</c:v>
                </c:pt>
                <c:pt idx="6">
                  <c:v>81.23151990553822</c:v>
                </c:pt>
                <c:pt idx="7">
                  <c:v>69.01014630756369</c:v>
                </c:pt>
                <c:pt idx="8">
                  <c:v>71.62441014536608</c:v>
                </c:pt>
                <c:pt idx="9">
                  <c:v>80.9827759866705</c:v>
                </c:pt>
                <c:pt idx="10">
                  <c:v>80.85071010456954</c:v>
                </c:pt>
                <c:pt idx="11">
                  <c:v>82.29540410135992</c:v>
                </c:pt>
                <c:pt idx="12">
                  <c:v>93.0963940930873</c:v>
                </c:pt>
                <c:pt idx="13">
                  <c:v>101.03034162523514</c:v>
                </c:pt>
                <c:pt idx="14">
                  <c:v>99.50420078878666</c:v>
                </c:pt>
                <c:pt idx="15">
                  <c:v>103.30143838434535</c:v>
                </c:pt>
                <c:pt idx="16">
                  <c:v>92.30466555214042</c:v>
                </c:pt>
              </c:numCache>
            </c:numRef>
          </c:yVal>
          <c:smooth val="0"/>
        </c:ser>
        <c:axId val="10538180"/>
        <c:axId val="27734757"/>
      </c:scatterChart>
      <c:valAx>
        <c:axId val="10538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7734757"/>
        <c:crosses val="autoZero"/>
        <c:crossBetween val="midCat"/>
        <c:dispUnits/>
        <c:majorUnit val="1"/>
      </c:valAx>
      <c:valAx>
        <c:axId val="27734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05381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COLORADO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CO_Data2!$K$69:$K$85</c:f>
              <c:numCache>
                <c:ptCount val="17"/>
                <c:pt idx="0">
                  <c:v>149</c:v>
                </c:pt>
                <c:pt idx="1">
                  <c:v>0</c:v>
                </c:pt>
                <c:pt idx="2">
                  <c:v>198</c:v>
                </c:pt>
                <c:pt idx="3">
                  <c:v>259</c:v>
                </c:pt>
                <c:pt idx="4">
                  <c:v>331</c:v>
                </c:pt>
                <c:pt idx="5">
                  <c:v>209</c:v>
                </c:pt>
                <c:pt idx="6">
                  <c:v>199</c:v>
                </c:pt>
                <c:pt idx="7">
                  <c:v>187</c:v>
                </c:pt>
                <c:pt idx="8">
                  <c:v>150</c:v>
                </c:pt>
                <c:pt idx="9">
                  <c:v>324</c:v>
                </c:pt>
                <c:pt idx="10">
                  <c:v>337</c:v>
                </c:pt>
                <c:pt idx="11">
                  <c:v>378</c:v>
                </c:pt>
                <c:pt idx="12">
                  <c:v>386</c:v>
                </c:pt>
                <c:pt idx="13">
                  <c:v>410</c:v>
                </c:pt>
                <c:pt idx="14">
                  <c:v>513</c:v>
                </c:pt>
                <c:pt idx="15">
                  <c:v>658</c:v>
                </c:pt>
                <c:pt idx="16">
                  <c:v>822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CO_Data2!$L$69:$L$85</c:f>
              <c:numCache>
                <c:ptCount val="17"/>
                <c:pt idx="0">
                  <c:v>72</c:v>
                </c:pt>
                <c:pt idx="1">
                  <c:v>0</c:v>
                </c:pt>
                <c:pt idx="2">
                  <c:v>107</c:v>
                </c:pt>
                <c:pt idx="3">
                  <c:v>124</c:v>
                </c:pt>
                <c:pt idx="4">
                  <c:v>161</c:v>
                </c:pt>
                <c:pt idx="5">
                  <c:v>98</c:v>
                </c:pt>
                <c:pt idx="6">
                  <c:v>93</c:v>
                </c:pt>
                <c:pt idx="7">
                  <c:v>119</c:v>
                </c:pt>
                <c:pt idx="8">
                  <c:v>99</c:v>
                </c:pt>
                <c:pt idx="9">
                  <c:v>208</c:v>
                </c:pt>
                <c:pt idx="10">
                  <c:v>228</c:v>
                </c:pt>
                <c:pt idx="11">
                  <c:v>272</c:v>
                </c:pt>
                <c:pt idx="12">
                  <c:v>253</c:v>
                </c:pt>
                <c:pt idx="13">
                  <c:v>299</c:v>
                </c:pt>
                <c:pt idx="14">
                  <c:v>347</c:v>
                </c:pt>
                <c:pt idx="15">
                  <c:v>451</c:v>
                </c:pt>
                <c:pt idx="16">
                  <c:v>623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CO_Data2!$M$68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CO_Data2!$M$69:$M$85</c:f>
              <c:numCache>
                <c:ptCount val="17"/>
                <c:pt idx="0">
                  <c:v>87</c:v>
                </c:pt>
                <c:pt idx="1">
                  <c:v>0</c:v>
                </c:pt>
                <c:pt idx="2">
                  <c:v>114</c:v>
                </c:pt>
                <c:pt idx="3">
                  <c:v>165</c:v>
                </c:pt>
                <c:pt idx="4">
                  <c:v>213</c:v>
                </c:pt>
                <c:pt idx="5">
                  <c:v>136</c:v>
                </c:pt>
                <c:pt idx="6">
                  <c:v>126</c:v>
                </c:pt>
                <c:pt idx="7">
                  <c:v>133</c:v>
                </c:pt>
                <c:pt idx="8">
                  <c:v>105</c:v>
                </c:pt>
                <c:pt idx="9">
                  <c:v>222</c:v>
                </c:pt>
                <c:pt idx="10">
                  <c:v>249</c:v>
                </c:pt>
                <c:pt idx="11">
                  <c:v>243</c:v>
                </c:pt>
                <c:pt idx="12">
                  <c:v>230</c:v>
                </c:pt>
                <c:pt idx="13">
                  <c:v>348</c:v>
                </c:pt>
                <c:pt idx="14">
                  <c:v>386</c:v>
                </c:pt>
                <c:pt idx="15">
                  <c:v>441</c:v>
                </c:pt>
                <c:pt idx="16">
                  <c:v>587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CO_Data2!$N$68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CO_Data2!$N$69:$N$85</c:f>
              <c:numCache>
                <c:ptCount val="17"/>
                <c:pt idx="0">
                  <c:v>308</c:v>
                </c:pt>
                <c:pt idx="1">
                  <c:v>0</c:v>
                </c:pt>
                <c:pt idx="2">
                  <c:v>419</c:v>
                </c:pt>
                <c:pt idx="3">
                  <c:v>548</c:v>
                </c:pt>
                <c:pt idx="4">
                  <c:v>705</c:v>
                </c:pt>
                <c:pt idx="5">
                  <c:v>443</c:v>
                </c:pt>
                <c:pt idx="6">
                  <c:v>418</c:v>
                </c:pt>
                <c:pt idx="7">
                  <c:v>439</c:v>
                </c:pt>
                <c:pt idx="8">
                  <c:v>354</c:v>
                </c:pt>
                <c:pt idx="9">
                  <c:v>754</c:v>
                </c:pt>
                <c:pt idx="10">
                  <c:v>814</c:v>
                </c:pt>
                <c:pt idx="11">
                  <c:v>893</c:v>
                </c:pt>
                <c:pt idx="12">
                  <c:v>869</c:v>
                </c:pt>
                <c:pt idx="13">
                  <c:v>1057</c:v>
                </c:pt>
                <c:pt idx="14">
                  <c:v>1246</c:v>
                </c:pt>
                <c:pt idx="15">
                  <c:v>1550</c:v>
                </c:pt>
                <c:pt idx="16">
                  <c:v>2032</c:v>
                </c:pt>
              </c:numCache>
            </c:numRef>
          </c:yVal>
          <c:smooth val="0"/>
        </c:ser>
        <c:axId val="48286222"/>
        <c:axId val="31922815"/>
      </c:scatterChart>
      <c:valAx>
        <c:axId val="48286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1922815"/>
        <c:crosses val="autoZero"/>
        <c:crossBetween val="midCat"/>
        <c:dispUnits/>
        <c:majorUnit val="1"/>
      </c:valAx>
      <c:valAx>
        <c:axId val="31922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8286222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CO_Data2!$B$68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CO_Data2!$B$69:$B$85</c:f>
              <c:numCache>
                <c:ptCount val="17"/>
                <c:pt idx="0">
                  <c:v>149</c:v>
                </c:pt>
                <c:pt idx="1">
                  <c:v>0</c:v>
                </c:pt>
                <c:pt idx="2">
                  <c:v>198</c:v>
                </c:pt>
                <c:pt idx="3">
                  <c:v>259</c:v>
                </c:pt>
                <c:pt idx="4">
                  <c:v>331</c:v>
                </c:pt>
                <c:pt idx="5">
                  <c:v>209</c:v>
                </c:pt>
                <c:pt idx="6">
                  <c:v>199</c:v>
                </c:pt>
                <c:pt idx="7">
                  <c:v>187</c:v>
                </c:pt>
                <c:pt idx="8">
                  <c:v>150</c:v>
                </c:pt>
                <c:pt idx="9">
                  <c:v>324</c:v>
                </c:pt>
                <c:pt idx="10">
                  <c:v>337</c:v>
                </c:pt>
                <c:pt idx="11">
                  <c:v>378</c:v>
                </c:pt>
                <c:pt idx="12">
                  <c:v>386</c:v>
                </c:pt>
                <c:pt idx="13">
                  <c:v>410</c:v>
                </c:pt>
                <c:pt idx="14">
                  <c:v>513</c:v>
                </c:pt>
                <c:pt idx="15">
                  <c:v>658</c:v>
                </c:pt>
                <c:pt idx="16">
                  <c:v>822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CO_Data2!$C$69:$C$85</c:f>
              <c:numCache>
                <c:ptCount val="17"/>
                <c:pt idx="0">
                  <c:v>72</c:v>
                </c:pt>
                <c:pt idx="1">
                  <c:v>0</c:v>
                </c:pt>
                <c:pt idx="2">
                  <c:v>107</c:v>
                </c:pt>
                <c:pt idx="3">
                  <c:v>124</c:v>
                </c:pt>
                <c:pt idx="4">
                  <c:v>161</c:v>
                </c:pt>
                <c:pt idx="5">
                  <c:v>98</c:v>
                </c:pt>
                <c:pt idx="6">
                  <c:v>93</c:v>
                </c:pt>
                <c:pt idx="7">
                  <c:v>119</c:v>
                </c:pt>
                <c:pt idx="8">
                  <c:v>99</c:v>
                </c:pt>
                <c:pt idx="9">
                  <c:v>208</c:v>
                </c:pt>
                <c:pt idx="10">
                  <c:v>228</c:v>
                </c:pt>
                <c:pt idx="11">
                  <c:v>272</c:v>
                </c:pt>
                <c:pt idx="12">
                  <c:v>253</c:v>
                </c:pt>
                <c:pt idx="13">
                  <c:v>299</c:v>
                </c:pt>
                <c:pt idx="14">
                  <c:v>347</c:v>
                </c:pt>
                <c:pt idx="15">
                  <c:v>451</c:v>
                </c:pt>
                <c:pt idx="16">
                  <c:v>623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CO_Data2!$D$69:$D$85</c:f>
              <c:numCache>
                <c:ptCount val="17"/>
                <c:pt idx="0">
                  <c:v>4</c:v>
                </c:pt>
                <c:pt idx="1">
                  <c:v>0</c:v>
                </c:pt>
                <c:pt idx="2">
                  <c:v>7</c:v>
                </c:pt>
                <c:pt idx="3">
                  <c:v>3</c:v>
                </c:pt>
                <c:pt idx="4">
                  <c:v>7</c:v>
                </c:pt>
                <c:pt idx="5">
                  <c:v>3</c:v>
                </c:pt>
                <c:pt idx="6">
                  <c:v>5</c:v>
                </c:pt>
                <c:pt idx="7">
                  <c:v>6</c:v>
                </c:pt>
                <c:pt idx="8">
                  <c:v>10</c:v>
                </c:pt>
                <c:pt idx="9">
                  <c:v>24</c:v>
                </c:pt>
                <c:pt idx="10">
                  <c:v>18</c:v>
                </c:pt>
                <c:pt idx="11">
                  <c:v>28</c:v>
                </c:pt>
                <c:pt idx="12">
                  <c:v>21</c:v>
                </c:pt>
                <c:pt idx="13">
                  <c:v>34</c:v>
                </c:pt>
                <c:pt idx="14">
                  <c:v>31</c:v>
                </c:pt>
                <c:pt idx="15">
                  <c:v>29</c:v>
                </c:pt>
                <c:pt idx="16">
                  <c:v>40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CO_Data2!$E$68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CO_Data2!$E$69:$E$85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CO_Data2!$F$68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CO_Data2!$F$69:$F$85</c:f>
              <c:numCache>
                <c:ptCount val="17"/>
                <c:pt idx="0">
                  <c:v>83</c:v>
                </c:pt>
                <c:pt idx="1">
                  <c:v>0</c:v>
                </c:pt>
                <c:pt idx="2">
                  <c:v>107</c:v>
                </c:pt>
                <c:pt idx="3">
                  <c:v>162</c:v>
                </c:pt>
                <c:pt idx="4">
                  <c:v>204</c:v>
                </c:pt>
                <c:pt idx="5">
                  <c:v>131</c:v>
                </c:pt>
                <c:pt idx="6">
                  <c:v>121</c:v>
                </c:pt>
                <c:pt idx="7">
                  <c:v>127</c:v>
                </c:pt>
                <c:pt idx="8">
                  <c:v>94</c:v>
                </c:pt>
                <c:pt idx="9">
                  <c:v>197</c:v>
                </c:pt>
                <c:pt idx="10">
                  <c:v>231</c:v>
                </c:pt>
                <c:pt idx="11">
                  <c:v>214</c:v>
                </c:pt>
                <c:pt idx="12">
                  <c:v>208</c:v>
                </c:pt>
                <c:pt idx="13">
                  <c:v>312</c:v>
                </c:pt>
                <c:pt idx="14">
                  <c:v>352</c:v>
                </c:pt>
                <c:pt idx="15">
                  <c:v>408</c:v>
                </c:pt>
                <c:pt idx="16">
                  <c:v>543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CO_Data2!$G$68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CO_Data2!$G$69:$G$85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CO_Data2!$H$68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CO_Data2!$H$69:$H$85</c:f>
              <c:numCache>
                <c:ptCount val="17"/>
                <c:pt idx="0">
                  <c:v>308</c:v>
                </c:pt>
                <c:pt idx="1">
                  <c:v>0</c:v>
                </c:pt>
                <c:pt idx="2">
                  <c:v>419</c:v>
                </c:pt>
                <c:pt idx="3">
                  <c:v>548</c:v>
                </c:pt>
                <c:pt idx="4">
                  <c:v>705</c:v>
                </c:pt>
                <c:pt idx="5">
                  <c:v>443</c:v>
                </c:pt>
                <c:pt idx="6">
                  <c:v>418</c:v>
                </c:pt>
                <c:pt idx="7">
                  <c:v>439</c:v>
                </c:pt>
                <c:pt idx="8">
                  <c:v>354</c:v>
                </c:pt>
                <c:pt idx="9">
                  <c:v>754</c:v>
                </c:pt>
                <c:pt idx="10">
                  <c:v>814</c:v>
                </c:pt>
                <c:pt idx="11">
                  <c:v>893</c:v>
                </c:pt>
                <c:pt idx="12">
                  <c:v>869</c:v>
                </c:pt>
                <c:pt idx="13">
                  <c:v>1057</c:v>
                </c:pt>
                <c:pt idx="14">
                  <c:v>1246</c:v>
                </c:pt>
                <c:pt idx="15">
                  <c:v>1550</c:v>
                </c:pt>
                <c:pt idx="16">
                  <c:v>2032</c:v>
                </c:pt>
              </c:numCache>
            </c:numRef>
          </c:yVal>
          <c:smooth val="0"/>
        </c:ser>
        <c:axId val="18869880"/>
        <c:axId val="35611193"/>
      </c:scatterChart>
      <c:valAx>
        <c:axId val="18869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5611193"/>
        <c:crosses val="autoZero"/>
        <c:crossBetween val="midCat"/>
        <c:dispUnits/>
        <c:majorUnit val="1"/>
      </c:valAx>
      <c:valAx>
        <c:axId val="35611193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8869880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19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CO_Data1!$B$5:$B$21</c:f>
              <c:numCache>
                <c:ptCount val="17"/>
                <c:pt idx="0">
                  <c:v>277</c:v>
                </c:pt>
                <c:pt idx="1">
                  <c:v>198</c:v>
                </c:pt>
                <c:pt idx="2">
                  <c:v>259</c:v>
                </c:pt>
                <c:pt idx="3">
                  <c:v>319</c:v>
                </c:pt>
                <c:pt idx="4">
                  <c:v>316</c:v>
                </c:pt>
                <c:pt idx="5">
                  <c:v>254</c:v>
                </c:pt>
                <c:pt idx="6">
                  <c:v>301</c:v>
                </c:pt>
                <c:pt idx="7">
                  <c:v>286</c:v>
                </c:pt>
                <c:pt idx="8">
                  <c:v>291</c:v>
                </c:pt>
                <c:pt idx="9">
                  <c:v>258</c:v>
                </c:pt>
                <c:pt idx="10">
                  <c:v>302</c:v>
                </c:pt>
                <c:pt idx="11">
                  <c:v>285</c:v>
                </c:pt>
                <c:pt idx="12">
                  <c:v>324</c:v>
                </c:pt>
                <c:pt idx="13">
                  <c:v>388</c:v>
                </c:pt>
                <c:pt idx="14">
                  <c:v>404</c:v>
                </c:pt>
                <c:pt idx="15">
                  <c:v>447</c:v>
                </c:pt>
                <c:pt idx="16">
                  <c:v>381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CO_Data1!$C$5:$C$21</c:f>
              <c:numCache>
                <c:ptCount val="17"/>
                <c:pt idx="0">
                  <c:v>90</c:v>
                </c:pt>
                <c:pt idx="1">
                  <c:v>49</c:v>
                </c:pt>
                <c:pt idx="2">
                  <c:v>98</c:v>
                </c:pt>
                <c:pt idx="3">
                  <c:v>88</c:v>
                </c:pt>
                <c:pt idx="4">
                  <c:v>110</c:v>
                </c:pt>
                <c:pt idx="5">
                  <c:v>107</c:v>
                </c:pt>
                <c:pt idx="6">
                  <c:v>151</c:v>
                </c:pt>
                <c:pt idx="7">
                  <c:v>106</c:v>
                </c:pt>
                <c:pt idx="8">
                  <c:v>147</c:v>
                </c:pt>
                <c:pt idx="9">
                  <c:v>133</c:v>
                </c:pt>
                <c:pt idx="10">
                  <c:v>134</c:v>
                </c:pt>
                <c:pt idx="11">
                  <c:v>147</c:v>
                </c:pt>
                <c:pt idx="12">
                  <c:v>180</c:v>
                </c:pt>
                <c:pt idx="13">
                  <c:v>185</c:v>
                </c:pt>
                <c:pt idx="14">
                  <c:v>132</c:v>
                </c:pt>
                <c:pt idx="15">
                  <c:v>148</c:v>
                </c:pt>
                <c:pt idx="16">
                  <c:v>129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CO_Data1!$D$5:$D$21</c:f>
              <c:numCache>
                <c:ptCount val="17"/>
                <c:pt idx="0">
                  <c:v>367</c:v>
                </c:pt>
                <c:pt idx="1">
                  <c:v>247</c:v>
                </c:pt>
                <c:pt idx="2">
                  <c:v>357</c:v>
                </c:pt>
                <c:pt idx="3">
                  <c:v>407</c:v>
                </c:pt>
                <c:pt idx="4">
                  <c:v>426</c:v>
                </c:pt>
                <c:pt idx="5">
                  <c:v>361</c:v>
                </c:pt>
                <c:pt idx="6">
                  <c:v>452</c:v>
                </c:pt>
                <c:pt idx="7">
                  <c:v>392</c:v>
                </c:pt>
                <c:pt idx="8">
                  <c:v>438</c:v>
                </c:pt>
                <c:pt idx="9">
                  <c:v>391</c:v>
                </c:pt>
                <c:pt idx="10">
                  <c:v>436</c:v>
                </c:pt>
                <c:pt idx="11">
                  <c:v>432</c:v>
                </c:pt>
                <c:pt idx="12">
                  <c:v>504</c:v>
                </c:pt>
                <c:pt idx="13">
                  <c:v>573</c:v>
                </c:pt>
                <c:pt idx="14">
                  <c:v>536</c:v>
                </c:pt>
                <c:pt idx="15">
                  <c:v>595</c:v>
                </c:pt>
                <c:pt idx="16">
                  <c:v>510</c:v>
                </c:pt>
              </c:numCache>
            </c:numRef>
          </c:yVal>
          <c:smooth val="1"/>
        </c:ser>
        <c:axId val="58617656"/>
        <c:axId val="57796857"/>
      </c:scatterChart>
      <c:scatterChart>
        <c:scatterStyle val="lineMarker"/>
        <c:varyColors val="0"/>
        <c:ser>
          <c:idx val="5"/>
          <c:order val="3"/>
          <c:tx>
            <c:strRef>
              <c:f>CO_Data1!$A$23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CO_Data1!$C$28:$C$44</c:f>
              <c:numCache>
                <c:ptCount val="17"/>
                <c:pt idx="0">
                  <c:v>24.52316076294278</c:v>
                </c:pt>
                <c:pt idx="1">
                  <c:v>19.838056680161944</c:v>
                </c:pt>
                <c:pt idx="2">
                  <c:v>27.450980392156865</c:v>
                </c:pt>
                <c:pt idx="3">
                  <c:v>21.62162162162162</c:v>
                </c:pt>
                <c:pt idx="4">
                  <c:v>25.821596244131456</c:v>
                </c:pt>
                <c:pt idx="5">
                  <c:v>29.6398891966759</c:v>
                </c:pt>
                <c:pt idx="6">
                  <c:v>33.4070796460177</c:v>
                </c:pt>
                <c:pt idx="7">
                  <c:v>27.040816326530614</c:v>
                </c:pt>
                <c:pt idx="8">
                  <c:v>33.56164383561644</c:v>
                </c:pt>
                <c:pt idx="9">
                  <c:v>34.015345268542205</c:v>
                </c:pt>
                <c:pt idx="10">
                  <c:v>30.73394495412844</c:v>
                </c:pt>
                <c:pt idx="11">
                  <c:v>34.02777777777778</c:v>
                </c:pt>
                <c:pt idx="12">
                  <c:v>35.714285714285715</c:v>
                </c:pt>
                <c:pt idx="13">
                  <c:v>32.28621291448517</c:v>
                </c:pt>
                <c:pt idx="14">
                  <c:v>24.62686567164179</c:v>
                </c:pt>
                <c:pt idx="15">
                  <c:v>24.873949579831933</c:v>
                </c:pt>
                <c:pt idx="16">
                  <c:v>25.294117647058822</c:v>
                </c:pt>
              </c:numCache>
            </c:numRef>
          </c:yVal>
          <c:smooth val="0"/>
        </c:ser>
        <c:axId val="50409666"/>
        <c:axId val="51033811"/>
      </c:scatterChart>
      <c:valAx>
        <c:axId val="58617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7796857"/>
        <c:crossesAt val="0"/>
        <c:crossBetween val="midCat"/>
        <c:dispUnits/>
        <c:majorUnit val="1"/>
      </c:valAx>
      <c:valAx>
        <c:axId val="57796857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8617656"/>
        <c:crosses val="autoZero"/>
        <c:crossBetween val="midCat"/>
        <c:dispUnits/>
        <c:majorUnit val="100"/>
      </c:valAx>
      <c:valAx>
        <c:axId val="50409666"/>
        <c:scaling>
          <c:orientation val="minMax"/>
        </c:scaling>
        <c:axPos val="b"/>
        <c:delete val="1"/>
        <c:majorTickMark val="in"/>
        <c:minorTickMark val="none"/>
        <c:tickLblPos val="nextTo"/>
        <c:crossAx val="51033811"/>
        <c:crosses val="max"/>
        <c:crossBetween val="midCat"/>
        <c:dispUnits/>
      </c:valAx>
      <c:valAx>
        <c:axId val="51033811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0409666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COLORADO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CO_Data2!$AK$69:$AK$85</c:f>
              <c:numCache>
                <c:ptCount val="17"/>
                <c:pt idx="0">
                  <c:v>5.7714110635238685</c:v>
                </c:pt>
                <c:pt idx="1">
                  <c:v>0</c:v>
                </c:pt>
                <c:pt idx="2">
                  <c:v>7.52984270614941</c:v>
                </c:pt>
                <c:pt idx="3">
                  <c:v>9.788248810482118</c:v>
                </c:pt>
                <c:pt idx="4">
                  <c:v>12.458971965431058</c:v>
                </c:pt>
                <c:pt idx="5">
                  <c:v>7.886110973806414</c:v>
                </c:pt>
                <c:pt idx="6">
                  <c:v>7.499212394276179</c:v>
                </c:pt>
                <c:pt idx="7">
                  <c:v>7.013090852904358</c:v>
                </c:pt>
                <c:pt idx="8">
                  <c:v>5.53152415616599</c:v>
                </c:pt>
                <c:pt idx="9">
                  <c:v>11.657573878974954</c:v>
                </c:pt>
                <c:pt idx="10">
                  <c:v>11.817893623527498</c:v>
                </c:pt>
                <c:pt idx="11">
                  <c:v>12.947218505890984</c:v>
                </c:pt>
                <c:pt idx="12">
                  <c:v>12.963059980683026</c:v>
                </c:pt>
                <c:pt idx="13">
                  <c:v>13.546952249636629</c:v>
                </c:pt>
                <c:pt idx="14">
                  <c:v>16.679900037651706</c:v>
                </c:pt>
                <c:pt idx="15">
                  <c:v>21.070300834582447</c:v>
                </c:pt>
                <c:pt idx="16">
                  <c:v>25.870762010391108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CO_Data2!$AL$69:$AL$85</c:f>
              <c:numCache>
                <c:ptCount val="17"/>
                <c:pt idx="0">
                  <c:v>63.099776521624825</c:v>
                </c:pt>
                <c:pt idx="1">
                  <c:v>0</c:v>
                </c:pt>
                <c:pt idx="2">
                  <c:v>88.92213080694756</c:v>
                </c:pt>
                <c:pt idx="3">
                  <c:v>100.90078360850497</c:v>
                </c:pt>
                <c:pt idx="4">
                  <c:v>128.6939561801076</c:v>
                </c:pt>
                <c:pt idx="5">
                  <c:v>77.90762381747356</c:v>
                </c:pt>
                <c:pt idx="6">
                  <c:v>73.12298027252069</c:v>
                </c:pt>
                <c:pt idx="7">
                  <c:v>92.18446188288699</c:v>
                </c:pt>
                <c:pt idx="8">
                  <c:v>74.47024575181098</c:v>
                </c:pt>
                <c:pt idx="9">
                  <c:v>151.8347920666321</c:v>
                </c:pt>
                <c:pt idx="10">
                  <c:v>161.64824491127072</c:v>
                </c:pt>
                <c:pt idx="11">
                  <c:v>188.68317181961334</c:v>
                </c:pt>
                <c:pt idx="12">
                  <c:v>173.23071866783522</c:v>
                </c:pt>
                <c:pt idx="13">
                  <c:v>201.7094709005417</c:v>
                </c:pt>
                <c:pt idx="14">
                  <c:v>229.94446874213085</c:v>
                </c:pt>
                <c:pt idx="15">
                  <c:v>291.6922678912137</c:v>
                </c:pt>
                <c:pt idx="16">
                  <c:v>395.35975834190054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CO_Data2!$AR$46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CO_Data2!$AR$69:$AR$86</c:f>
              <c:numCache>
                <c:ptCount val="18"/>
                <c:pt idx="0">
                  <c:v>19.87058992812328</c:v>
                </c:pt>
                <c:pt idx="1">
                  <c:v>0</c:v>
                </c:pt>
                <c:pt idx="2">
                  <c:v>24.84439562738637</c:v>
                </c:pt>
                <c:pt idx="3">
                  <c:v>35.21675378366668</c:v>
                </c:pt>
                <c:pt idx="4">
                  <c:v>44.4995059092419</c:v>
                </c:pt>
                <c:pt idx="5">
                  <c:v>27.968518964095416</c:v>
                </c:pt>
                <c:pt idx="6">
                  <c:v>25.45315710052179</c:v>
                </c:pt>
                <c:pt idx="7">
                  <c:v>26.164054523528957</c:v>
                </c:pt>
                <c:pt idx="8">
                  <c:v>20.08039808911107</c:v>
                </c:pt>
                <c:pt idx="9">
                  <c:v>40.83171631153496</c:v>
                </c:pt>
                <c:pt idx="10">
                  <c:v>43.820361157209504</c:v>
                </c:pt>
                <c:pt idx="11">
                  <c:v>41.17199558798862</c:v>
                </c:pt>
                <c:pt idx="12">
                  <c:v>37.43970985852673</c:v>
                </c:pt>
                <c:pt idx="13">
                  <c:v>54.54784849491828</c:v>
                </c:pt>
                <c:pt idx="14">
                  <c:v>58.06004250717102</c:v>
                </c:pt>
                <c:pt idx="15">
                  <c:v>63.77689367480726</c:v>
                </c:pt>
                <c:pt idx="16">
                  <c:v>81.38952862013552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CO_Data2!$AQ$46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CO_Data2!$AQ$69:$AQ$85</c:f>
              <c:numCache>
                <c:ptCount val="17"/>
                <c:pt idx="0">
                  <c:v>9.82885976610505</c:v>
                </c:pt>
                <c:pt idx="1">
                  <c:v>0</c:v>
                </c:pt>
                <c:pt idx="2">
                  <c:v>13.058154287546792</c:v>
                </c:pt>
                <c:pt idx="3">
                  <c:v>16.926902345982178</c:v>
                </c:pt>
                <c:pt idx="4">
                  <c:v>21.622583177936992</c:v>
                </c:pt>
                <c:pt idx="5">
                  <c:v>13.579459764336598</c:v>
                </c:pt>
                <c:pt idx="6">
                  <c:v>12.760156076856434</c:v>
                </c:pt>
                <c:pt idx="7">
                  <c:v>13.287479925008975</c:v>
                </c:pt>
                <c:pt idx="8">
                  <c:v>10.512040294966663</c:v>
                </c:pt>
                <c:pt idx="9">
                  <c:v>21.791939005692203</c:v>
                </c:pt>
                <c:pt idx="10">
                  <c:v>22.8594921935115</c:v>
                </c:pt>
                <c:pt idx="11">
                  <c:v>24.43957295062002</c:v>
                </c:pt>
                <c:pt idx="12">
                  <c:v>23.247346685888754</c:v>
                </c:pt>
                <c:pt idx="13">
                  <c:v>27.72301949581348</c:v>
                </c:pt>
                <c:pt idx="14">
                  <c:v>32.02020510920149</c:v>
                </c:pt>
                <c:pt idx="15">
                  <c:v>39.05298280383788</c:v>
                </c:pt>
                <c:pt idx="16">
                  <c:v>50.096976603084755</c:v>
                </c:pt>
              </c:numCache>
            </c:numRef>
          </c:yVal>
          <c:smooth val="0"/>
        </c:ser>
        <c:axId val="52065282"/>
        <c:axId val="65934355"/>
      </c:scatterChart>
      <c:valAx>
        <c:axId val="52065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5934355"/>
        <c:crosses val="autoZero"/>
        <c:crossBetween val="midCat"/>
        <c:dispUnits/>
        <c:majorUnit val="1"/>
      </c:valAx>
      <c:valAx>
        <c:axId val="65934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20652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CO_Data2!$AK$68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CO_Data2!$AK$69:$AK$85</c:f>
              <c:numCache>
                <c:ptCount val="17"/>
                <c:pt idx="0">
                  <c:v>5.7714110635238685</c:v>
                </c:pt>
                <c:pt idx="1">
                  <c:v>0</c:v>
                </c:pt>
                <c:pt idx="2">
                  <c:v>7.52984270614941</c:v>
                </c:pt>
                <c:pt idx="3">
                  <c:v>9.788248810482118</c:v>
                </c:pt>
                <c:pt idx="4">
                  <c:v>12.458971965431058</c:v>
                </c:pt>
                <c:pt idx="5">
                  <c:v>7.886110973806414</c:v>
                </c:pt>
                <c:pt idx="6">
                  <c:v>7.499212394276179</c:v>
                </c:pt>
                <c:pt idx="7">
                  <c:v>7.013090852904358</c:v>
                </c:pt>
                <c:pt idx="8">
                  <c:v>5.53152415616599</c:v>
                </c:pt>
                <c:pt idx="9">
                  <c:v>11.657573878974954</c:v>
                </c:pt>
                <c:pt idx="10">
                  <c:v>11.817893623527498</c:v>
                </c:pt>
                <c:pt idx="11">
                  <c:v>12.947218505890984</c:v>
                </c:pt>
                <c:pt idx="12">
                  <c:v>12.963059980683026</c:v>
                </c:pt>
                <c:pt idx="13">
                  <c:v>13.546952249636629</c:v>
                </c:pt>
                <c:pt idx="14">
                  <c:v>16.679900037651706</c:v>
                </c:pt>
                <c:pt idx="15">
                  <c:v>21.070300834582447</c:v>
                </c:pt>
                <c:pt idx="16">
                  <c:v>25.870762010391108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CO_Data2!$AL$68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CO_Data2!$AL$69:$AL$85</c:f>
              <c:numCache>
                <c:ptCount val="17"/>
                <c:pt idx="0">
                  <c:v>63.099776521624825</c:v>
                </c:pt>
                <c:pt idx="1">
                  <c:v>0</c:v>
                </c:pt>
                <c:pt idx="2">
                  <c:v>88.92213080694756</c:v>
                </c:pt>
                <c:pt idx="3">
                  <c:v>100.90078360850497</c:v>
                </c:pt>
                <c:pt idx="4">
                  <c:v>128.6939561801076</c:v>
                </c:pt>
                <c:pt idx="5">
                  <c:v>77.90762381747356</c:v>
                </c:pt>
                <c:pt idx="6">
                  <c:v>73.12298027252069</c:v>
                </c:pt>
                <c:pt idx="7">
                  <c:v>92.18446188288699</c:v>
                </c:pt>
                <c:pt idx="8">
                  <c:v>74.47024575181098</c:v>
                </c:pt>
                <c:pt idx="9">
                  <c:v>151.8347920666321</c:v>
                </c:pt>
                <c:pt idx="10">
                  <c:v>161.64824491127072</c:v>
                </c:pt>
                <c:pt idx="11">
                  <c:v>188.68317181961334</c:v>
                </c:pt>
                <c:pt idx="12">
                  <c:v>173.23071866783522</c:v>
                </c:pt>
                <c:pt idx="13">
                  <c:v>201.7094709005417</c:v>
                </c:pt>
                <c:pt idx="14">
                  <c:v>229.94446874213085</c:v>
                </c:pt>
                <c:pt idx="15">
                  <c:v>291.6922678912137</c:v>
                </c:pt>
                <c:pt idx="16">
                  <c:v>395.35975834190054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CO_Data2!$AM$69:$AM$85</c:f>
              <c:numCache>
                <c:ptCount val="17"/>
                <c:pt idx="0">
                  <c:v>22.705341431571778</c:v>
                </c:pt>
                <c:pt idx="1">
                  <c:v>0</c:v>
                </c:pt>
                <c:pt idx="2">
                  <c:v>36.8111064366849</c:v>
                </c:pt>
                <c:pt idx="3">
                  <c:v>15.233839435332351</c:v>
                </c:pt>
                <c:pt idx="4">
                  <c:v>34.37945091105545</c:v>
                </c:pt>
                <c:pt idx="5">
                  <c:v>14.348574708245646</c:v>
                </c:pt>
                <c:pt idx="6">
                  <c:v>23.20616355704075</c:v>
                </c:pt>
                <c:pt idx="7">
                  <c:v>27.023375219564922</c:v>
                </c:pt>
                <c:pt idx="8">
                  <c:v>44.401030103898414</c:v>
                </c:pt>
                <c:pt idx="9">
                  <c:v>103.65379632029024</c:v>
                </c:pt>
                <c:pt idx="10">
                  <c:v>75.68113017154388</c:v>
                </c:pt>
                <c:pt idx="11">
                  <c:v>115.67379988432619</c:v>
                </c:pt>
                <c:pt idx="12">
                  <c:v>85.0753524550316</c:v>
                </c:pt>
                <c:pt idx="13">
                  <c:v>135.3664848508978</c:v>
                </c:pt>
                <c:pt idx="14">
                  <c:v>122.09531311539978</c:v>
                </c:pt>
                <c:pt idx="15">
                  <c:v>112.15097842060483</c:v>
                </c:pt>
                <c:pt idx="16">
                  <c:v>151.86028853454823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CO_Data2!$AN$68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CO_Data2!$AN$69:$AN$85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3.9000799516390083</c:v>
                </c:pt>
                <c:pt idx="5">
                  <c:v>3.77251721210978</c:v>
                </c:pt>
                <c:pt idx="6">
                  <c:v>0</c:v>
                </c:pt>
                <c:pt idx="7">
                  <c:v>0</c:v>
                </c:pt>
                <c:pt idx="8">
                  <c:v>1.6716817118020728</c:v>
                </c:pt>
                <c:pt idx="9">
                  <c:v>1.5659009411064657</c:v>
                </c:pt>
                <c:pt idx="10">
                  <c:v>0</c:v>
                </c:pt>
                <c:pt idx="11">
                  <c:v>1.394700139470014</c:v>
                </c:pt>
                <c:pt idx="12">
                  <c:v>1.3182351467854836</c:v>
                </c:pt>
                <c:pt idx="13">
                  <c:v>2.5247743482926213</c:v>
                </c:pt>
                <c:pt idx="14">
                  <c:v>3.612455747417094</c:v>
                </c:pt>
                <c:pt idx="15">
                  <c:v>4.580642206037287</c:v>
                </c:pt>
                <c:pt idx="16">
                  <c:v>4.381113021763179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CO_Data2!$AO$68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CO_Data2!$AO$69:$AO$85</c:f>
              <c:numCache>
                <c:ptCount val="17"/>
                <c:pt idx="0">
                  <c:v>21.93718564409427</c:v>
                </c:pt>
                <c:pt idx="1">
                  <c:v>0</c:v>
                </c:pt>
                <c:pt idx="2">
                  <c:v>27.22757160596869</c:v>
                </c:pt>
                <c:pt idx="3">
                  <c:v>40.540134733386054</c:v>
                </c:pt>
                <c:pt idx="4">
                  <c:v>50.121002911440605</c:v>
                </c:pt>
                <c:pt idx="5">
                  <c:v>31.770052723736356</c:v>
                </c:pt>
                <c:pt idx="6">
                  <c:v>28.922320860881246</c:v>
                </c:pt>
                <c:pt idx="7">
                  <c:v>29.64235448988309</c:v>
                </c:pt>
                <c:pt idx="8">
                  <c:v>21.336674565775972</c:v>
                </c:pt>
                <c:pt idx="9">
                  <c:v>43.137426644477536</c:v>
                </c:pt>
                <c:pt idx="10">
                  <c:v>48.478895940364666</c:v>
                </c:pt>
                <c:pt idx="11">
                  <c:v>43.293458843902805</c:v>
                </c:pt>
                <c:pt idx="12">
                  <c:v>40.48441155518532</c:v>
                </c:pt>
                <c:pt idx="13">
                  <c:v>58.46638183044749</c:v>
                </c:pt>
                <c:pt idx="14">
                  <c:v>63.26463488936777</c:v>
                </c:pt>
                <c:pt idx="15">
                  <c:v>70.55271480967195</c:v>
                </c:pt>
                <c:pt idx="16">
                  <c:v>89.96292135948389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CO_Data2!$AQ$24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CO_Data2!$AQ$69:$AQ$85</c:f>
              <c:numCache>
                <c:ptCount val="17"/>
                <c:pt idx="0">
                  <c:v>9.82885976610505</c:v>
                </c:pt>
                <c:pt idx="1">
                  <c:v>0</c:v>
                </c:pt>
                <c:pt idx="2">
                  <c:v>13.058154287546792</c:v>
                </c:pt>
                <c:pt idx="3">
                  <c:v>16.926902345982178</c:v>
                </c:pt>
                <c:pt idx="4">
                  <c:v>21.622583177936992</c:v>
                </c:pt>
                <c:pt idx="5">
                  <c:v>13.579459764336598</c:v>
                </c:pt>
                <c:pt idx="6">
                  <c:v>12.760156076856434</c:v>
                </c:pt>
                <c:pt idx="7">
                  <c:v>13.287479925008975</c:v>
                </c:pt>
                <c:pt idx="8">
                  <c:v>10.512040294966663</c:v>
                </c:pt>
                <c:pt idx="9">
                  <c:v>21.791939005692203</c:v>
                </c:pt>
                <c:pt idx="10">
                  <c:v>22.8594921935115</c:v>
                </c:pt>
                <c:pt idx="11">
                  <c:v>24.43957295062002</c:v>
                </c:pt>
                <c:pt idx="12">
                  <c:v>23.247346685888754</c:v>
                </c:pt>
                <c:pt idx="13">
                  <c:v>27.72301949581348</c:v>
                </c:pt>
                <c:pt idx="14">
                  <c:v>32.02020510920149</c:v>
                </c:pt>
                <c:pt idx="15">
                  <c:v>39.05298280383788</c:v>
                </c:pt>
                <c:pt idx="16">
                  <c:v>50.096976603084755</c:v>
                </c:pt>
              </c:numCache>
            </c:numRef>
          </c:yVal>
          <c:smooth val="0"/>
        </c:ser>
        <c:axId val="56538284"/>
        <c:axId val="39082509"/>
      </c:scatterChart>
      <c:valAx>
        <c:axId val="56538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9082509"/>
        <c:crosses val="autoZero"/>
        <c:crossBetween val="midCat"/>
        <c:dispUnits/>
        <c:majorUnit val="1"/>
      </c:valAx>
      <c:valAx>
        <c:axId val="39082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65382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COLORADO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CO_Data2!$K$90:$K$106</c:f>
              <c:numCache>
                <c:ptCount val="17"/>
                <c:pt idx="0">
                  <c:v>6</c:v>
                </c:pt>
                <c:pt idx="1">
                  <c:v>264</c:v>
                </c:pt>
                <c:pt idx="2">
                  <c:v>8</c:v>
                </c:pt>
                <c:pt idx="3">
                  <c:v>9</c:v>
                </c:pt>
                <c:pt idx="4">
                  <c:v>5</c:v>
                </c:pt>
                <c:pt idx="5">
                  <c:v>31</c:v>
                </c:pt>
                <c:pt idx="6">
                  <c:v>61</c:v>
                </c:pt>
                <c:pt idx="7">
                  <c:v>107</c:v>
                </c:pt>
                <c:pt idx="8">
                  <c:v>79</c:v>
                </c:pt>
                <c:pt idx="9">
                  <c:v>25</c:v>
                </c:pt>
                <c:pt idx="10">
                  <c:v>54</c:v>
                </c:pt>
                <c:pt idx="11">
                  <c:v>47</c:v>
                </c:pt>
                <c:pt idx="12">
                  <c:v>51</c:v>
                </c:pt>
                <c:pt idx="13">
                  <c:v>45</c:v>
                </c:pt>
                <c:pt idx="14">
                  <c:v>42</c:v>
                </c:pt>
                <c:pt idx="15">
                  <c:v>49</c:v>
                </c:pt>
                <c:pt idx="16">
                  <c:v>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CO_Data2!$L$90:$L$106</c:f>
              <c:numCache>
                <c:ptCount val="17"/>
                <c:pt idx="0">
                  <c:v>4</c:v>
                </c:pt>
                <c:pt idx="1">
                  <c:v>146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20</c:v>
                </c:pt>
                <c:pt idx="6">
                  <c:v>25</c:v>
                </c:pt>
                <c:pt idx="7">
                  <c:v>63</c:v>
                </c:pt>
                <c:pt idx="8">
                  <c:v>55</c:v>
                </c:pt>
                <c:pt idx="9">
                  <c:v>9</c:v>
                </c:pt>
                <c:pt idx="10">
                  <c:v>27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35</c:v>
                </c:pt>
                <c:pt idx="15">
                  <c:v>17</c:v>
                </c:pt>
                <c:pt idx="16">
                  <c:v>19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CO_Data2!$M$89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CO_Data2!$M$90:$M$106</c:f>
              <c:numCache>
                <c:ptCount val="17"/>
                <c:pt idx="0">
                  <c:v>3</c:v>
                </c:pt>
                <c:pt idx="1">
                  <c:v>240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17</c:v>
                </c:pt>
                <c:pt idx="6">
                  <c:v>47</c:v>
                </c:pt>
                <c:pt idx="7">
                  <c:v>63</c:v>
                </c:pt>
                <c:pt idx="8">
                  <c:v>54</c:v>
                </c:pt>
                <c:pt idx="9">
                  <c:v>11</c:v>
                </c:pt>
                <c:pt idx="10">
                  <c:v>23</c:v>
                </c:pt>
                <c:pt idx="11">
                  <c:v>26</c:v>
                </c:pt>
                <c:pt idx="12">
                  <c:v>39</c:v>
                </c:pt>
                <c:pt idx="13">
                  <c:v>43</c:v>
                </c:pt>
                <c:pt idx="14">
                  <c:v>28</c:v>
                </c:pt>
                <c:pt idx="15">
                  <c:v>35</c:v>
                </c:pt>
                <c:pt idx="16">
                  <c:v>46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CO_Data2!$N$89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CO_Data2!$N$90:$N$106</c:f>
              <c:numCache>
                <c:ptCount val="17"/>
                <c:pt idx="0">
                  <c:v>13</c:v>
                </c:pt>
                <c:pt idx="1">
                  <c:v>650</c:v>
                </c:pt>
                <c:pt idx="2">
                  <c:v>12</c:v>
                </c:pt>
                <c:pt idx="3">
                  <c:v>13</c:v>
                </c:pt>
                <c:pt idx="4">
                  <c:v>8</c:v>
                </c:pt>
                <c:pt idx="5">
                  <c:v>68</c:v>
                </c:pt>
                <c:pt idx="6">
                  <c:v>133</c:v>
                </c:pt>
                <c:pt idx="7">
                  <c:v>233</c:v>
                </c:pt>
                <c:pt idx="8">
                  <c:v>188</c:v>
                </c:pt>
                <c:pt idx="9">
                  <c:v>45</c:v>
                </c:pt>
                <c:pt idx="10">
                  <c:v>104</c:v>
                </c:pt>
                <c:pt idx="11">
                  <c:v>99</c:v>
                </c:pt>
                <c:pt idx="12">
                  <c:v>117</c:v>
                </c:pt>
                <c:pt idx="13">
                  <c:v>116</c:v>
                </c:pt>
                <c:pt idx="14">
                  <c:v>105</c:v>
                </c:pt>
                <c:pt idx="15">
                  <c:v>101</c:v>
                </c:pt>
                <c:pt idx="16">
                  <c:v>111</c:v>
                </c:pt>
              </c:numCache>
            </c:numRef>
          </c:yVal>
          <c:smooth val="0"/>
        </c:ser>
        <c:axId val="16198262"/>
        <c:axId val="11566631"/>
      </c:scatterChart>
      <c:valAx>
        <c:axId val="16198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1566631"/>
        <c:crosses val="autoZero"/>
        <c:crossBetween val="midCat"/>
        <c:dispUnits/>
        <c:majorUnit val="1"/>
      </c:valAx>
      <c:valAx>
        <c:axId val="11566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61982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CO_Data2!$B$89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CO_Data2!$B$90:$B$106</c:f>
              <c:numCache>
                <c:ptCount val="17"/>
                <c:pt idx="0">
                  <c:v>6</c:v>
                </c:pt>
                <c:pt idx="1">
                  <c:v>264</c:v>
                </c:pt>
                <c:pt idx="2">
                  <c:v>8</c:v>
                </c:pt>
                <c:pt idx="3">
                  <c:v>9</c:v>
                </c:pt>
                <c:pt idx="4">
                  <c:v>5</c:v>
                </c:pt>
                <c:pt idx="5">
                  <c:v>31</c:v>
                </c:pt>
                <c:pt idx="6">
                  <c:v>61</c:v>
                </c:pt>
                <c:pt idx="7">
                  <c:v>107</c:v>
                </c:pt>
                <c:pt idx="8">
                  <c:v>79</c:v>
                </c:pt>
                <c:pt idx="9">
                  <c:v>25</c:v>
                </c:pt>
                <c:pt idx="10">
                  <c:v>54</c:v>
                </c:pt>
                <c:pt idx="11">
                  <c:v>47</c:v>
                </c:pt>
                <c:pt idx="12">
                  <c:v>51</c:v>
                </c:pt>
                <c:pt idx="13">
                  <c:v>45</c:v>
                </c:pt>
                <c:pt idx="14">
                  <c:v>42</c:v>
                </c:pt>
                <c:pt idx="15">
                  <c:v>49</c:v>
                </c:pt>
                <c:pt idx="16">
                  <c:v>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CO_Data2!$C$90:$C$106</c:f>
              <c:numCache>
                <c:ptCount val="17"/>
                <c:pt idx="0">
                  <c:v>4</c:v>
                </c:pt>
                <c:pt idx="1">
                  <c:v>146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20</c:v>
                </c:pt>
                <c:pt idx="6">
                  <c:v>25</c:v>
                </c:pt>
                <c:pt idx="7">
                  <c:v>63</c:v>
                </c:pt>
                <c:pt idx="8">
                  <c:v>55</c:v>
                </c:pt>
                <c:pt idx="9">
                  <c:v>9</c:v>
                </c:pt>
                <c:pt idx="10">
                  <c:v>27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35</c:v>
                </c:pt>
                <c:pt idx="15">
                  <c:v>17</c:v>
                </c:pt>
                <c:pt idx="16">
                  <c:v>19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CO_Data2!$D$90:$D$106</c:f>
              <c:numCache>
                <c:ptCount val="17"/>
                <c:pt idx="0">
                  <c:v>0</c:v>
                </c:pt>
                <c:pt idx="1">
                  <c:v>10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4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6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CO_Data2!$E$24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CO_Data2!$E$90:$E$106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CO_Data2!$F$24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CO_Data2!$F$90:$F$106</c:f>
              <c:numCache>
                <c:ptCount val="17"/>
                <c:pt idx="0">
                  <c:v>3</c:v>
                </c:pt>
                <c:pt idx="1">
                  <c:v>229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15</c:v>
                </c:pt>
                <c:pt idx="6">
                  <c:v>47</c:v>
                </c:pt>
                <c:pt idx="7">
                  <c:v>61</c:v>
                </c:pt>
                <c:pt idx="8">
                  <c:v>50</c:v>
                </c:pt>
                <c:pt idx="9">
                  <c:v>11</c:v>
                </c:pt>
                <c:pt idx="10">
                  <c:v>21</c:v>
                </c:pt>
                <c:pt idx="11">
                  <c:v>24</c:v>
                </c:pt>
                <c:pt idx="12">
                  <c:v>34</c:v>
                </c:pt>
                <c:pt idx="13">
                  <c:v>41</c:v>
                </c:pt>
                <c:pt idx="14">
                  <c:v>25</c:v>
                </c:pt>
                <c:pt idx="15">
                  <c:v>35</c:v>
                </c:pt>
                <c:pt idx="16">
                  <c:v>40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CO_Data2!$G$68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CO_Data2!$G$90:$G$106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CO_Data2!$N$3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CO_Data2!$H$90:$H$106</c:f>
              <c:numCache>
                <c:ptCount val="17"/>
                <c:pt idx="0">
                  <c:v>13</c:v>
                </c:pt>
                <c:pt idx="1">
                  <c:v>650</c:v>
                </c:pt>
                <c:pt idx="2">
                  <c:v>12</c:v>
                </c:pt>
                <c:pt idx="3">
                  <c:v>13</c:v>
                </c:pt>
                <c:pt idx="4">
                  <c:v>8</c:v>
                </c:pt>
                <c:pt idx="5">
                  <c:v>68</c:v>
                </c:pt>
                <c:pt idx="6">
                  <c:v>133</c:v>
                </c:pt>
                <c:pt idx="7">
                  <c:v>233</c:v>
                </c:pt>
                <c:pt idx="8">
                  <c:v>188</c:v>
                </c:pt>
                <c:pt idx="9">
                  <c:v>45</c:v>
                </c:pt>
                <c:pt idx="10">
                  <c:v>104</c:v>
                </c:pt>
                <c:pt idx="11">
                  <c:v>99</c:v>
                </c:pt>
                <c:pt idx="12">
                  <c:v>117</c:v>
                </c:pt>
                <c:pt idx="13">
                  <c:v>116</c:v>
                </c:pt>
                <c:pt idx="14">
                  <c:v>105</c:v>
                </c:pt>
                <c:pt idx="15">
                  <c:v>101</c:v>
                </c:pt>
                <c:pt idx="16">
                  <c:v>111</c:v>
                </c:pt>
              </c:numCache>
            </c:numRef>
          </c:yVal>
          <c:smooth val="0"/>
        </c:ser>
        <c:axId val="36990816"/>
        <c:axId val="64481889"/>
      </c:scatterChart>
      <c:valAx>
        <c:axId val="36990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4481889"/>
        <c:crosses val="autoZero"/>
        <c:crossBetween val="midCat"/>
        <c:dispUnits/>
        <c:majorUnit val="1"/>
      </c:valAx>
      <c:valAx>
        <c:axId val="64481889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6990816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2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RACE, PER 100,000:  COLORADO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CO_Data2!$AK$90:$AK$106</c:f>
              <c:numCache>
                <c:ptCount val="17"/>
                <c:pt idx="0">
                  <c:v>0.23240581463854504</c:v>
                </c:pt>
                <c:pt idx="1">
                  <c:v>10.13457097942567</c:v>
                </c:pt>
                <c:pt idx="2">
                  <c:v>0.3042360689353297</c:v>
                </c:pt>
                <c:pt idx="3">
                  <c:v>0.3401321980476412</c:v>
                </c:pt>
                <c:pt idx="4">
                  <c:v>0.18820199343551447</c:v>
                </c:pt>
                <c:pt idx="5">
                  <c:v>1.1697102401339659</c:v>
                </c:pt>
                <c:pt idx="6">
                  <c:v>2.2987535479942056</c:v>
                </c:pt>
                <c:pt idx="7">
                  <c:v>4.0128380816083755</c:v>
                </c:pt>
                <c:pt idx="8">
                  <c:v>2.913269388914088</c:v>
                </c:pt>
                <c:pt idx="9">
                  <c:v>0.8995041573283143</c:v>
                </c:pt>
                <c:pt idx="10">
                  <c:v>1.8936684144524774</c:v>
                </c:pt>
                <c:pt idx="11">
                  <c:v>1.609839338034064</c:v>
                </c:pt>
                <c:pt idx="12">
                  <c:v>1.7127359041835086</c:v>
                </c:pt>
                <c:pt idx="13">
                  <c:v>1.4868606127649957</c:v>
                </c:pt>
                <c:pt idx="14">
                  <c:v>1.365605851035812</c:v>
                </c:pt>
                <c:pt idx="15">
                  <c:v>1.569064955766778</c:v>
                </c:pt>
                <c:pt idx="16">
                  <c:v>1.447755538294393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CO_Data2!$AL$90:$AL$106</c:f>
              <c:numCache>
                <c:ptCount val="17"/>
                <c:pt idx="0">
                  <c:v>3.505543140090268</c:v>
                </c:pt>
                <c:pt idx="1">
                  <c:v>125.04924884800522</c:v>
                </c:pt>
                <c:pt idx="2">
                  <c:v>0.8310479514667997</c:v>
                </c:pt>
                <c:pt idx="3">
                  <c:v>2.441147990528346</c:v>
                </c:pt>
                <c:pt idx="4">
                  <c:v>1.598682685467175</c:v>
                </c:pt>
                <c:pt idx="5">
                  <c:v>15.899515064790524</c:v>
                </c:pt>
                <c:pt idx="6">
                  <c:v>19.65671512702169</c:v>
                </c:pt>
                <c:pt idx="7">
                  <c:v>48.80353864388135</c:v>
                </c:pt>
                <c:pt idx="8">
                  <c:v>41.372358751006104</c:v>
                </c:pt>
                <c:pt idx="9">
                  <c:v>6.569774656729274</c:v>
                </c:pt>
                <c:pt idx="10">
                  <c:v>19.142555318439953</c:v>
                </c:pt>
                <c:pt idx="11">
                  <c:v>18.03589142393363</c:v>
                </c:pt>
                <c:pt idx="12">
                  <c:v>18.48707274320771</c:v>
                </c:pt>
                <c:pt idx="13">
                  <c:v>18.88918122145541</c:v>
                </c:pt>
                <c:pt idx="14">
                  <c:v>23.193246126727896</c:v>
                </c:pt>
                <c:pt idx="15">
                  <c:v>10.995052226498077</c:v>
                </c:pt>
                <c:pt idx="16">
                  <c:v>12.057520719897449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CO_Data2!$AR$89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CO_Data2!$AR$90:$AR$106</c:f>
              <c:numCache>
                <c:ptCount val="17"/>
                <c:pt idx="0">
                  <c:v>0.6851927561421821</c:v>
                </c:pt>
                <c:pt idx="1">
                  <c:v>53.5365342232295</c:v>
                </c:pt>
                <c:pt idx="2">
                  <c:v>0.6537998849312202</c:v>
                </c:pt>
                <c:pt idx="3">
                  <c:v>0.21343487141616171</c:v>
                </c:pt>
                <c:pt idx="4">
                  <c:v>0.20891786811850657</c:v>
                </c:pt>
                <c:pt idx="5">
                  <c:v>3.496064870511927</c:v>
                </c:pt>
                <c:pt idx="6">
                  <c:v>9.494431616861302</c:v>
                </c:pt>
                <c:pt idx="7">
                  <c:v>12.393499511145299</c:v>
                </c:pt>
                <c:pt idx="8">
                  <c:v>10.327061874399979</c:v>
                </c:pt>
                <c:pt idx="9">
                  <c:v>2.023193150571552</c:v>
                </c:pt>
                <c:pt idx="10">
                  <c:v>4.04766388199124</c:v>
                </c:pt>
                <c:pt idx="11">
                  <c:v>4.405234095834174</c:v>
                </c:pt>
                <c:pt idx="12">
                  <c:v>6.348472541228446</c:v>
                </c:pt>
                <c:pt idx="13">
                  <c:v>6.740107716326108</c:v>
                </c:pt>
                <c:pt idx="14">
                  <c:v>4.211609301038312</c:v>
                </c:pt>
                <c:pt idx="15">
                  <c:v>5.061658228159306</c:v>
                </c:pt>
                <c:pt idx="16">
                  <c:v>6.378055053707383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CO_Data2!$AQ$89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CO_Data2!$AQ$90:$AQ$106</c:f>
              <c:numCache>
                <c:ptCount val="17"/>
                <c:pt idx="0">
                  <c:v>0.4148544706472911</c:v>
                </c:pt>
                <c:pt idx="1">
                  <c:v>20.50479007669107</c:v>
                </c:pt>
                <c:pt idx="2">
                  <c:v>0.3739805523879749</c:v>
                </c:pt>
                <c:pt idx="3">
                  <c:v>0.40155060309811735</c:v>
                </c:pt>
                <c:pt idx="4">
                  <c:v>0.24536264599077437</c:v>
                </c:pt>
                <c:pt idx="5">
                  <c:v>2.084431747121645</c:v>
                </c:pt>
                <c:pt idx="6">
                  <c:v>4.060049660817956</c:v>
                </c:pt>
                <c:pt idx="7">
                  <c:v>7.052352670904535</c:v>
                </c:pt>
                <c:pt idx="8">
                  <c:v>5.582665467383425</c:v>
                </c:pt>
                <c:pt idx="9">
                  <c:v>1.3005799141328238</c:v>
                </c:pt>
                <c:pt idx="10">
                  <c:v>2.920623081234884</c:v>
                </c:pt>
                <c:pt idx="11">
                  <c:v>2.7094263405502597</c:v>
                </c:pt>
                <c:pt idx="12">
                  <c:v>3.1299649738193147</c:v>
                </c:pt>
                <c:pt idx="13">
                  <c:v>3.0424505785377143</c:v>
                </c:pt>
                <c:pt idx="14">
                  <c:v>2.698331891224845</c:v>
                </c:pt>
                <c:pt idx="15">
                  <c:v>2.5447427504436293</c:v>
                </c:pt>
                <c:pt idx="16">
                  <c:v>2.7365966549913425</c:v>
                </c:pt>
              </c:numCache>
            </c:numRef>
          </c:yVal>
          <c:smooth val="0"/>
        </c:ser>
        <c:axId val="43466090"/>
        <c:axId val="55650491"/>
      </c:scatterChart>
      <c:valAx>
        <c:axId val="43466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5650491"/>
        <c:crosses val="autoZero"/>
        <c:crossBetween val="midCat"/>
        <c:dispUnits/>
        <c:majorUnit val="1"/>
      </c:valAx>
      <c:valAx>
        <c:axId val="55650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34660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CO_Data2!$AK$90:$AK$106</c:f>
              <c:numCache>
                <c:ptCount val="17"/>
                <c:pt idx="0">
                  <c:v>0.23240581463854504</c:v>
                </c:pt>
                <c:pt idx="1">
                  <c:v>10.13457097942567</c:v>
                </c:pt>
                <c:pt idx="2">
                  <c:v>0.3042360689353297</c:v>
                </c:pt>
                <c:pt idx="3">
                  <c:v>0.3401321980476412</c:v>
                </c:pt>
                <c:pt idx="4">
                  <c:v>0.18820199343551447</c:v>
                </c:pt>
                <c:pt idx="5">
                  <c:v>1.1697102401339659</c:v>
                </c:pt>
                <c:pt idx="6">
                  <c:v>2.2987535479942056</c:v>
                </c:pt>
                <c:pt idx="7">
                  <c:v>4.0128380816083755</c:v>
                </c:pt>
                <c:pt idx="8">
                  <c:v>2.913269388914088</c:v>
                </c:pt>
                <c:pt idx="9">
                  <c:v>0.8995041573283143</c:v>
                </c:pt>
                <c:pt idx="10">
                  <c:v>1.8936684144524774</c:v>
                </c:pt>
                <c:pt idx="11">
                  <c:v>1.609839338034064</c:v>
                </c:pt>
                <c:pt idx="12">
                  <c:v>1.7127359041835086</c:v>
                </c:pt>
                <c:pt idx="13">
                  <c:v>1.4868606127649957</c:v>
                </c:pt>
                <c:pt idx="14">
                  <c:v>1.365605851035812</c:v>
                </c:pt>
                <c:pt idx="15">
                  <c:v>1.569064955766778</c:v>
                </c:pt>
                <c:pt idx="16">
                  <c:v>1.447755538294393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CO_Data2!$AL$90:$AL$106</c:f>
              <c:numCache>
                <c:ptCount val="17"/>
                <c:pt idx="0">
                  <c:v>3.505543140090268</c:v>
                </c:pt>
                <c:pt idx="1">
                  <c:v>125.04924884800522</c:v>
                </c:pt>
                <c:pt idx="2">
                  <c:v>0.8310479514667997</c:v>
                </c:pt>
                <c:pt idx="3">
                  <c:v>2.441147990528346</c:v>
                </c:pt>
                <c:pt idx="4">
                  <c:v>1.598682685467175</c:v>
                </c:pt>
                <c:pt idx="5">
                  <c:v>15.899515064790524</c:v>
                </c:pt>
                <c:pt idx="6">
                  <c:v>19.65671512702169</c:v>
                </c:pt>
                <c:pt idx="7">
                  <c:v>48.80353864388135</c:v>
                </c:pt>
                <c:pt idx="8">
                  <c:v>41.372358751006104</c:v>
                </c:pt>
                <c:pt idx="9">
                  <c:v>6.569774656729274</c:v>
                </c:pt>
                <c:pt idx="10">
                  <c:v>19.142555318439953</c:v>
                </c:pt>
                <c:pt idx="11">
                  <c:v>18.03589142393363</c:v>
                </c:pt>
                <c:pt idx="12">
                  <c:v>18.48707274320771</c:v>
                </c:pt>
                <c:pt idx="13">
                  <c:v>18.88918122145541</c:v>
                </c:pt>
                <c:pt idx="14">
                  <c:v>23.193246126727896</c:v>
                </c:pt>
                <c:pt idx="15">
                  <c:v>10.995052226498077</c:v>
                </c:pt>
                <c:pt idx="16">
                  <c:v>12.057520719897449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CO_Data2!$AM$89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CO_Data2!$AM$90:$AM$106</c:f>
              <c:numCache>
                <c:ptCount val="17"/>
                <c:pt idx="0">
                  <c:v>0</c:v>
                </c:pt>
                <c:pt idx="1">
                  <c:v>54.65376837732962</c:v>
                </c:pt>
                <c:pt idx="2">
                  <c:v>5.258729490954986</c:v>
                </c:pt>
                <c:pt idx="3">
                  <c:v>0</c:v>
                </c:pt>
                <c:pt idx="4">
                  <c:v>0</c:v>
                </c:pt>
                <c:pt idx="5">
                  <c:v>9.565716472163766</c:v>
                </c:pt>
                <c:pt idx="6">
                  <c:v>0</c:v>
                </c:pt>
                <c:pt idx="7">
                  <c:v>9.007791739854975</c:v>
                </c:pt>
                <c:pt idx="8">
                  <c:v>13.320309031169522</c:v>
                </c:pt>
                <c:pt idx="9">
                  <c:v>0</c:v>
                </c:pt>
                <c:pt idx="10">
                  <c:v>8.409014463504878</c:v>
                </c:pt>
                <c:pt idx="11">
                  <c:v>4.1312071387259355</c:v>
                </c:pt>
                <c:pt idx="12">
                  <c:v>16.20482903905364</c:v>
                </c:pt>
                <c:pt idx="13">
                  <c:v>7.962734402993989</c:v>
                </c:pt>
                <c:pt idx="14">
                  <c:v>11.815675462780622</c:v>
                </c:pt>
                <c:pt idx="15">
                  <c:v>0</c:v>
                </c:pt>
                <c:pt idx="16">
                  <c:v>22.779043280182233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CO_Data2!$AN$89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CO_Data2!$AN$90:$AN$106</c:f>
              <c:numCache>
                <c:ptCount val="17"/>
                <c:pt idx="0">
                  <c:v>0</c:v>
                </c:pt>
                <c:pt idx="1">
                  <c:v>2.2568778352027805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1.6716817118020728</c:v>
                </c:pt>
                <c:pt idx="9">
                  <c:v>0</c:v>
                </c:pt>
                <c:pt idx="10">
                  <c:v>0</c:v>
                </c:pt>
                <c:pt idx="11">
                  <c:v>1.394700139470014</c:v>
                </c:pt>
                <c:pt idx="12">
                  <c:v>1.3182351467854836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CO_Data2!$AO$68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CO_Data2!$AO$90:$AO$106</c:f>
              <c:numCache>
                <c:ptCount val="17"/>
                <c:pt idx="0">
                  <c:v>0.792910324485335</c:v>
                </c:pt>
                <c:pt idx="1">
                  <c:v>59.374724516834945</c:v>
                </c:pt>
                <c:pt idx="2">
                  <c:v>0.5089265720741811</c:v>
                </c:pt>
                <c:pt idx="3">
                  <c:v>0.2502477452678151</c:v>
                </c:pt>
                <c:pt idx="4">
                  <c:v>0.24569119074235596</c:v>
                </c:pt>
                <c:pt idx="5">
                  <c:v>3.6377922966110328</c:v>
                </c:pt>
                <c:pt idx="6">
                  <c:v>11.234289921168749</c:v>
                </c:pt>
                <c:pt idx="7">
                  <c:v>14.237666329786364</c:v>
                </c:pt>
                <c:pt idx="8">
                  <c:v>11.349294981795731</c:v>
                </c:pt>
                <c:pt idx="9">
                  <c:v>2.408688797407375</c:v>
                </c:pt>
                <c:pt idx="10">
                  <c:v>4.40717235821497</c:v>
                </c:pt>
                <c:pt idx="11">
                  <c:v>4.855341178755455</c:v>
                </c:pt>
                <c:pt idx="12">
                  <c:v>6.6176441965206765</c:v>
                </c:pt>
                <c:pt idx="13">
                  <c:v>7.683082227719061</c:v>
                </c:pt>
                <c:pt idx="14">
                  <c:v>4.493226909756234</c:v>
                </c:pt>
                <c:pt idx="15">
                  <c:v>6.052316221417937</c:v>
                </c:pt>
                <c:pt idx="16">
                  <c:v>6.627102862577081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CO_Data2!$AQ$24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CO_Data2!$AQ$90:$AQ$105</c:f>
              <c:numCache>
                <c:ptCount val="16"/>
                <c:pt idx="0">
                  <c:v>0.4148544706472911</c:v>
                </c:pt>
                <c:pt idx="1">
                  <c:v>20.50479007669107</c:v>
                </c:pt>
                <c:pt idx="2">
                  <c:v>0.3739805523879749</c:v>
                </c:pt>
                <c:pt idx="3">
                  <c:v>0.40155060309811735</c:v>
                </c:pt>
                <c:pt idx="4">
                  <c:v>0.24536264599077437</c:v>
                </c:pt>
                <c:pt idx="5">
                  <c:v>2.084431747121645</c:v>
                </c:pt>
                <c:pt idx="6">
                  <c:v>4.060049660817956</c:v>
                </c:pt>
                <c:pt idx="7">
                  <c:v>7.052352670904535</c:v>
                </c:pt>
                <c:pt idx="8">
                  <c:v>5.582665467383425</c:v>
                </c:pt>
                <c:pt idx="9">
                  <c:v>1.3005799141328238</c:v>
                </c:pt>
                <c:pt idx="10">
                  <c:v>2.920623081234884</c:v>
                </c:pt>
                <c:pt idx="11">
                  <c:v>2.7094263405502597</c:v>
                </c:pt>
                <c:pt idx="12">
                  <c:v>3.1299649738193147</c:v>
                </c:pt>
                <c:pt idx="13">
                  <c:v>3.0424505785377143</c:v>
                </c:pt>
                <c:pt idx="14">
                  <c:v>2.698331891224845</c:v>
                </c:pt>
                <c:pt idx="15">
                  <c:v>2.5447427504436293</c:v>
                </c:pt>
              </c:numCache>
            </c:numRef>
          </c:yVal>
          <c:smooth val="0"/>
        </c:ser>
        <c:axId val="31092372"/>
        <c:axId val="11395893"/>
      </c:scatterChart>
      <c:valAx>
        <c:axId val="31092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1395893"/>
        <c:crosses val="autoZero"/>
        <c:crossBetween val="midCat"/>
        <c:dispUnits/>
        <c:majorUnit val="1"/>
      </c:valAx>
      <c:valAx>
        <c:axId val="11395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10923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COLORADO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CO_Data2!$K$47:$K$63</c:f>
              <c:numCache>
                <c:ptCount val="17"/>
                <c:pt idx="0">
                  <c:v>155</c:v>
                </c:pt>
                <c:pt idx="1">
                  <c:v>264</c:v>
                </c:pt>
                <c:pt idx="2">
                  <c:v>206</c:v>
                </c:pt>
                <c:pt idx="3">
                  <c:v>268</c:v>
                </c:pt>
                <c:pt idx="4">
                  <c:v>336</c:v>
                </c:pt>
                <c:pt idx="5">
                  <c:v>240</c:v>
                </c:pt>
                <c:pt idx="6">
                  <c:v>260</c:v>
                </c:pt>
                <c:pt idx="7">
                  <c:v>294</c:v>
                </c:pt>
                <c:pt idx="8">
                  <c:v>229</c:v>
                </c:pt>
                <c:pt idx="9">
                  <c:v>349</c:v>
                </c:pt>
                <c:pt idx="10">
                  <c:v>391</c:v>
                </c:pt>
                <c:pt idx="11">
                  <c:v>425</c:v>
                </c:pt>
                <c:pt idx="12">
                  <c:v>437</c:v>
                </c:pt>
                <c:pt idx="13">
                  <c:v>455</c:v>
                </c:pt>
                <c:pt idx="14">
                  <c:v>555</c:v>
                </c:pt>
                <c:pt idx="15">
                  <c:v>707</c:v>
                </c:pt>
                <c:pt idx="16">
                  <c:v>868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CO_Data2!$L$47:$L$63</c:f>
              <c:numCache>
                <c:ptCount val="17"/>
                <c:pt idx="0">
                  <c:v>76</c:v>
                </c:pt>
                <c:pt idx="1">
                  <c:v>146</c:v>
                </c:pt>
                <c:pt idx="2">
                  <c:v>108</c:v>
                </c:pt>
                <c:pt idx="3">
                  <c:v>127</c:v>
                </c:pt>
                <c:pt idx="4">
                  <c:v>163</c:v>
                </c:pt>
                <c:pt idx="5">
                  <c:v>118</c:v>
                </c:pt>
                <c:pt idx="6">
                  <c:v>118</c:v>
                </c:pt>
                <c:pt idx="7">
                  <c:v>182</c:v>
                </c:pt>
                <c:pt idx="8">
                  <c:v>154</c:v>
                </c:pt>
                <c:pt idx="9">
                  <c:v>217</c:v>
                </c:pt>
                <c:pt idx="10">
                  <c:v>255</c:v>
                </c:pt>
                <c:pt idx="11">
                  <c:v>298</c:v>
                </c:pt>
                <c:pt idx="12">
                  <c:v>280</c:v>
                </c:pt>
                <c:pt idx="13">
                  <c:v>327</c:v>
                </c:pt>
                <c:pt idx="14">
                  <c:v>382</c:v>
                </c:pt>
                <c:pt idx="15">
                  <c:v>468</c:v>
                </c:pt>
                <c:pt idx="16">
                  <c:v>642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CO_Data2!$M$47:$M$63</c:f>
              <c:numCache>
                <c:ptCount val="17"/>
                <c:pt idx="0">
                  <c:v>90</c:v>
                </c:pt>
                <c:pt idx="1">
                  <c:v>240</c:v>
                </c:pt>
                <c:pt idx="2">
                  <c:v>117</c:v>
                </c:pt>
                <c:pt idx="3">
                  <c:v>166</c:v>
                </c:pt>
                <c:pt idx="4">
                  <c:v>214</c:v>
                </c:pt>
                <c:pt idx="5">
                  <c:v>153</c:v>
                </c:pt>
                <c:pt idx="6">
                  <c:v>173</c:v>
                </c:pt>
                <c:pt idx="7">
                  <c:v>196</c:v>
                </c:pt>
                <c:pt idx="8">
                  <c:v>159</c:v>
                </c:pt>
                <c:pt idx="9">
                  <c:v>233</c:v>
                </c:pt>
                <c:pt idx="10">
                  <c:v>272</c:v>
                </c:pt>
                <c:pt idx="11">
                  <c:v>269</c:v>
                </c:pt>
                <c:pt idx="12">
                  <c:v>269</c:v>
                </c:pt>
                <c:pt idx="13">
                  <c:v>391</c:v>
                </c:pt>
                <c:pt idx="14">
                  <c:v>414</c:v>
                </c:pt>
                <c:pt idx="15">
                  <c:v>476</c:v>
                </c:pt>
                <c:pt idx="16">
                  <c:v>633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CO_Data2!$N$46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CO_Data2!$N$47:$N$63</c:f>
              <c:numCache>
                <c:ptCount val="17"/>
                <c:pt idx="0">
                  <c:v>321</c:v>
                </c:pt>
                <c:pt idx="1">
                  <c:v>650</c:v>
                </c:pt>
                <c:pt idx="2">
                  <c:v>431</c:v>
                </c:pt>
                <c:pt idx="3">
                  <c:v>561</c:v>
                </c:pt>
                <c:pt idx="4">
                  <c:v>713</c:v>
                </c:pt>
                <c:pt idx="5">
                  <c:v>511</c:v>
                </c:pt>
                <c:pt idx="6">
                  <c:v>551</c:v>
                </c:pt>
                <c:pt idx="7">
                  <c:v>672</c:v>
                </c:pt>
                <c:pt idx="8">
                  <c:v>542</c:v>
                </c:pt>
                <c:pt idx="9">
                  <c:v>799</c:v>
                </c:pt>
                <c:pt idx="10">
                  <c:v>918</c:v>
                </c:pt>
                <c:pt idx="11">
                  <c:v>992</c:v>
                </c:pt>
                <c:pt idx="12">
                  <c:v>986</c:v>
                </c:pt>
                <c:pt idx="13">
                  <c:v>1173</c:v>
                </c:pt>
                <c:pt idx="14">
                  <c:v>1351</c:v>
                </c:pt>
                <c:pt idx="15">
                  <c:v>1651</c:v>
                </c:pt>
                <c:pt idx="16">
                  <c:v>2143</c:v>
                </c:pt>
              </c:numCache>
            </c:numRef>
          </c:yVal>
          <c:smooth val="0"/>
        </c:ser>
        <c:axId val="35454174"/>
        <c:axId val="50652111"/>
      </c:scatterChart>
      <c:valAx>
        <c:axId val="35454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0652111"/>
        <c:crosses val="autoZero"/>
        <c:crossBetween val="midCat"/>
        <c:dispUnits/>
        <c:majorUnit val="1"/>
      </c:valAx>
      <c:valAx>
        <c:axId val="50652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54541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CO_Data2!$B$46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CO_Data2!$B$47:$B$63</c:f>
              <c:numCache>
                <c:ptCount val="17"/>
                <c:pt idx="0">
                  <c:v>155</c:v>
                </c:pt>
                <c:pt idx="1">
                  <c:v>264</c:v>
                </c:pt>
                <c:pt idx="2">
                  <c:v>206</c:v>
                </c:pt>
                <c:pt idx="3">
                  <c:v>268</c:v>
                </c:pt>
                <c:pt idx="4">
                  <c:v>336</c:v>
                </c:pt>
                <c:pt idx="5">
                  <c:v>240</c:v>
                </c:pt>
                <c:pt idx="6">
                  <c:v>260</c:v>
                </c:pt>
                <c:pt idx="7">
                  <c:v>294</c:v>
                </c:pt>
                <c:pt idx="8">
                  <c:v>229</c:v>
                </c:pt>
                <c:pt idx="9">
                  <c:v>349</c:v>
                </c:pt>
                <c:pt idx="10">
                  <c:v>391</c:v>
                </c:pt>
                <c:pt idx="11">
                  <c:v>425</c:v>
                </c:pt>
                <c:pt idx="12">
                  <c:v>437</c:v>
                </c:pt>
                <c:pt idx="13">
                  <c:v>455</c:v>
                </c:pt>
                <c:pt idx="14">
                  <c:v>555</c:v>
                </c:pt>
                <c:pt idx="15">
                  <c:v>707</c:v>
                </c:pt>
                <c:pt idx="16">
                  <c:v>868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CO_Data2!$C$46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CO_Data2!$C$47:$C$63</c:f>
              <c:numCache>
                <c:ptCount val="17"/>
                <c:pt idx="0">
                  <c:v>76</c:v>
                </c:pt>
                <c:pt idx="1">
                  <c:v>146</c:v>
                </c:pt>
                <c:pt idx="2">
                  <c:v>108</c:v>
                </c:pt>
                <c:pt idx="3">
                  <c:v>127</c:v>
                </c:pt>
                <c:pt idx="4">
                  <c:v>163</c:v>
                </c:pt>
                <c:pt idx="5">
                  <c:v>118</c:v>
                </c:pt>
                <c:pt idx="6">
                  <c:v>118</c:v>
                </c:pt>
                <c:pt idx="7">
                  <c:v>182</c:v>
                </c:pt>
                <c:pt idx="8">
                  <c:v>154</c:v>
                </c:pt>
                <c:pt idx="9">
                  <c:v>217</c:v>
                </c:pt>
                <c:pt idx="10">
                  <c:v>255</c:v>
                </c:pt>
                <c:pt idx="11">
                  <c:v>298</c:v>
                </c:pt>
                <c:pt idx="12">
                  <c:v>280</c:v>
                </c:pt>
                <c:pt idx="13">
                  <c:v>327</c:v>
                </c:pt>
                <c:pt idx="14">
                  <c:v>382</c:v>
                </c:pt>
                <c:pt idx="15">
                  <c:v>468</c:v>
                </c:pt>
                <c:pt idx="16">
                  <c:v>642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CO_Data2!$D$46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CO_Data2!$D$47:$D$63</c:f>
              <c:numCache>
                <c:ptCount val="17"/>
                <c:pt idx="0">
                  <c:v>4</c:v>
                </c:pt>
                <c:pt idx="1">
                  <c:v>10</c:v>
                </c:pt>
                <c:pt idx="2">
                  <c:v>8</c:v>
                </c:pt>
                <c:pt idx="3">
                  <c:v>3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8</c:v>
                </c:pt>
                <c:pt idx="8">
                  <c:v>13</c:v>
                </c:pt>
                <c:pt idx="9">
                  <c:v>24</c:v>
                </c:pt>
                <c:pt idx="10">
                  <c:v>20</c:v>
                </c:pt>
                <c:pt idx="11">
                  <c:v>29</c:v>
                </c:pt>
                <c:pt idx="12">
                  <c:v>25</c:v>
                </c:pt>
                <c:pt idx="13">
                  <c:v>36</c:v>
                </c:pt>
                <c:pt idx="14">
                  <c:v>34</c:v>
                </c:pt>
                <c:pt idx="15">
                  <c:v>29</c:v>
                </c:pt>
                <c:pt idx="16">
                  <c:v>46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CO_Data2!$E$46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CO_Data2!$E$47:$E$63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CO_Data2!$F$46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CO_Data2!$F$47:$F$63</c:f>
              <c:numCache>
                <c:ptCount val="17"/>
                <c:pt idx="0">
                  <c:v>86</c:v>
                </c:pt>
                <c:pt idx="1">
                  <c:v>229</c:v>
                </c:pt>
                <c:pt idx="2">
                  <c:v>109</c:v>
                </c:pt>
                <c:pt idx="3">
                  <c:v>163</c:v>
                </c:pt>
                <c:pt idx="4">
                  <c:v>205</c:v>
                </c:pt>
                <c:pt idx="5">
                  <c:v>146</c:v>
                </c:pt>
                <c:pt idx="6">
                  <c:v>168</c:v>
                </c:pt>
                <c:pt idx="7">
                  <c:v>188</c:v>
                </c:pt>
                <c:pt idx="8">
                  <c:v>144</c:v>
                </c:pt>
                <c:pt idx="9">
                  <c:v>208</c:v>
                </c:pt>
                <c:pt idx="10">
                  <c:v>252</c:v>
                </c:pt>
                <c:pt idx="11">
                  <c:v>238</c:v>
                </c:pt>
                <c:pt idx="12">
                  <c:v>242</c:v>
                </c:pt>
                <c:pt idx="13">
                  <c:v>353</c:v>
                </c:pt>
                <c:pt idx="14">
                  <c:v>377</c:v>
                </c:pt>
                <c:pt idx="15">
                  <c:v>443</c:v>
                </c:pt>
                <c:pt idx="16">
                  <c:v>583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CO_Data2!$G$46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CO_Data2!$G$47:$G$63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CO_Data2!$H$46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CO_Data2!$H$47:$H$63</c:f>
              <c:numCache>
                <c:ptCount val="17"/>
                <c:pt idx="0">
                  <c:v>321</c:v>
                </c:pt>
                <c:pt idx="1">
                  <c:v>650</c:v>
                </c:pt>
                <c:pt idx="2">
                  <c:v>431</c:v>
                </c:pt>
                <c:pt idx="3">
                  <c:v>561</c:v>
                </c:pt>
                <c:pt idx="4">
                  <c:v>713</c:v>
                </c:pt>
                <c:pt idx="5">
                  <c:v>511</c:v>
                </c:pt>
                <c:pt idx="6">
                  <c:v>551</c:v>
                </c:pt>
                <c:pt idx="7">
                  <c:v>672</c:v>
                </c:pt>
                <c:pt idx="8">
                  <c:v>542</c:v>
                </c:pt>
                <c:pt idx="9">
                  <c:v>799</c:v>
                </c:pt>
                <c:pt idx="10">
                  <c:v>918</c:v>
                </c:pt>
                <c:pt idx="11">
                  <c:v>992</c:v>
                </c:pt>
                <c:pt idx="12">
                  <c:v>986</c:v>
                </c:pt>
                <c:pt idx="13">
                  <c:v>1173</c:v>
                </c:pt>
                <c:pt idx="14">
                  <c:v>1351</c:v>
                </c:pt>
                <c:pt idx="15">
                  <c:v>1651</c:v>
                </c:pt>
                <c:pt idx="16">
                  <c:v>2143</c:v>
                </c:pt>
              </c:numCache>
            </c:numRef>
          </c:yVal>
          <c:smooth val="0"/>
        </c:ser>
        <c:axId val="53215816"/>
        <c:axId val="9180297"/>
      </c:scatterChart>
      <c:valAx>
        <c:axId val="53215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9180297"/>
        <c:crosses val="autoZero"/>
        <c:crossBetween val="midCat"/>
        <c:dispUnits/>
        <c:majorUnit val="1"/>
      </c:valAx>
      <c:valAx>
        <c:axId val="9180297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3215816"/>
        <c:crosses val="autoZero"/>
        <c:crossBetween val="midCat"/>
        <c:dispUnits/>
        <c:majorUnit val="3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&amp; OTHER ADMITS, BY RACE, PER 100,000:  COLORADO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CO_Data2!$AK$47:$AK$63</c:f>
              <c:numCache>
                <c:ptCount val="17"/>
                <c:pt idx="0">
                  <c:v>6.0038168781624135</c:v>
                </c:pt>
                <c:pt idx="1">
                  <c:v>10.13457097942567</c:v>
                </c:pt>
                <c:pt idx="2">
                  <c:v>7.834078775084739</c:v>
                </c:pt>
                <c:pt idx="3">
                  <c:v>10.128381008529761</c:v>
                </c:pt>
                <c:pt idx="4">
                  <c:v>12.647173958866572</c:v>
                </c:pt>
                <c:pt idx="5">
                  <c:v>9.05582121394038</c:v>
                </c:pt>
                <c:pt idx="6">
                  <c:v>9.797965942270386</c:v>
                </c:pt>
                <c:pt idx="7">
                  <c:v>11.025928934512732</c:v>
                </c:pt>
                <c:pt idx="8">
                  <c:v>8.444793545080078</c:v>
                </c:pt>
                <c:pt idx="9">
                  <c:v>12.557078036303269</c:v>
                </c:pt>
                <c:pt idx="10">
                  <c:v>13.711562037979974</c:v>
                </c:pt>
                <c:pt idx="11">
                  <c:v>14.55705784392505</c:v>
                </c:pt>
                <c:pt idx="12">
                  <c:v>14.675795884866533</c:v>
                </c:pt>
                <c:pt idx="13">
                  <c:v>15.033812862401625</c:v>
                </c:pt>
                <c:pt idx="14">
                  <c:v>18.045505888687515</c:v>
                </c:pt>
                <c:pt idx="15">
                  <c:v>22.639365790349228</c:v>
                </c:pt>
                <c:pt idx="16">
                  <c:v>27.318517548685502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CO_Data2!$AL$47:$AL$63</c:f>
              <c:numCache>
                <c:ptCount val="17"/>
                <c:pt idx="0">
                  <c:v>66.60531966171509</c:v>
                </c:pt>
                <c:pt idx="1">
                  <c:v>125.04924884800522</c:v>
                </c:pt>
                <c:pt idx="2">
                  <c:v>89.75317875841436</c:v>
                </c:pt>
                <c:pt idx="3">
                  <c:v>103.34193159903332</c:v>
                </c:pt>
                <c:pt idx="4">
                  <c:v>130.29263886557476</c:v>
                </c:pt>
                <c:pt idx="5">
                  <c:v>93.8071388822641</c:v>
                </c:pt>
                <c:pt idx="6">
                  <c:v>92.77969539954239</c:v>
                </c:pt>
                <c:pt idx="7">
                  <c:v>140.98800052676836</c:v>
                </c:pt>
                <c:pt idx="8">
                  <c:v>115.84260450281708</c:v>
                </c:pt>
                <c:pt idx="9">
                  <c:v>158.4045667233614</c:v>
                </c:pt>
                <c:pt idx="10">
                  <c:v>180.79080022971067</c:v>
                </c:pt>
                <c:pt idx="11">
                  <c:v>206.71906324354694</c:v>
                </c:pt>
                <c:pt idx="12">
                  <c:v>191.71779141104295</c:v>
                </c:pt>
                <c:pt idx="13">
                  <c:v>220.59865212199713</c:v>
                </c:pt>
                <c:pt idx="14">
                  <c:v>253.13771486885875</c:v>
                </c:pt>
                <c:pt idx="15">
                  <c:v>302.68732011771175</c:v>
                </c:pt>
                <c:pt idx="16">
                  <c:v>407.417279061798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CO_Data2!$AR$47:$AR$63</c:f>
              <c:numCache>
                <c:ptCount val="17"/>
                <c:pt idx="0">
                  <c:v>20.555782684265463</c:v>
                </c:pt>
                <c:pt idx="1">
                  <c:v>53.5365342232295</c:v>
                </c:pt>
                <c:pt idx="2">
                  <c:v>25.49819551231759</c:v>
                </c:pt>
                <c:pt idx="3">
                  <c:v>35.430188655082844</c:v>
                </c:pt>
                <c:pt idx="4">
                  <c:v>44.70842377736041</c:v>
                </c:pt>
                <c:pt idx="5">
                  <c:v>31.46458383460734</c:v>
                </c:pt>
                <c:pt idx="6">
                  <c:v>34.94758871738309</c:v>
                </c:pt>
                <c:pt idx="7">
                  <c:v>38.55755403467426</c:v>
                </c:pt>
                <c:pt idx="8">
                  <c:v>30.407459963511048</c:v>
                </c:pt>
                <c:pt idx="9">
                  <c:v>42.85490946210651</c:v>
                </c:pt>
                <c:pt idx="10">
                  <c:v>47.868025039200745</c:v>
                </c:pt>
                <c:pt idx="11">
                  <c:v>45.57722968382279</c:v>
                </c:pt>
                <c:pt idx="12">
                  <c:v>43.78818239975518</c:v>
                </c:pt>
                <c:pt idx="13">
                  <c:v>61.287956211244385</c:v>
                </c:pt>
                <c:pt idx="14">
                  <c:v>62.271651808209334</c:v>
                </c:pt>
                <c:pt idx="15">
                  <c:v>68.83855190296656</c:v>
                </c:pt>
                <c:pt idx="16">
                  <c:v>87.7675836738429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CO_Data2!$N$46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CO_Data2!$AQ$47:$AQ$63</c:f>
              <c:numCache>
                <c:ptCount val="17"/>
                <c:pt idx="0">
                  <c:v>10.243714236752341</c:v>
                </c:pt>
                <c:pt idx="1">
                  <c:v>20.50479007669107</c:v>
                </c:pt>
                <c:pt idx="2">
                  <c:v>13.432134839934767</c:v>
                </c:pt>
                <c:pt idx="3">
                  <c:v>17.328452949080297</c:v>
                </c:pt>
                <c:pt idx="4">
                  <c:v>21.867945823927766</c:v>
                </c:pt>
                <c:pt idx="5">
                  <c:v>15.663891511458242</c:v>
                </c:pt>
                <c:pt idx="6">
                  <c:v>16.820205737674392</c:v>
                </c:pt>
                <c:pt idx="7">
                  <c:v>20.33983259591351</c:v>
                </c:pt>
                <c:pt idx="8">
                  <c:v>16.094705762350088</c:v>
                </c:pt>
                <c:pt idx="9">
                  <c:v>23.09251891982503</c:v>
                </c:pt>
                <c:pt idx="10">
                  <c:v>25.780115274746382</c:v>
                </c:pt>
                <c:pt idx="11">
                  <c:v>27.14899929117028</c:v>
                </c:pt>
                <c:pt idx="12">
                  <c:v>26.37731165970807</c:v>
                </c:pt>
                <c:pt idx="13">
                  <c:v>30.765470074351196</c:v>
                </c:pt>
                <c:pt idx="14">
                  <c:v>34.71853700042634</c:v>
                </c:pt>
                <c:pt idx="15">
                  <c:v>41.5977255542815</c:v>
                </c:pt>
                <c:pt idx="16">
                  <c:v>52.8335732580761</c:v>
                </c:pt>
              </c:numCache>
            </c:numRef>
          </c:yVal>
          <c:smooth val="0"/>
        </c:ser>
        <c:axId val="15513810"/>
        <c:axId val="5406563"/>
      </c:scatterChart>
      <c:valAx>
        <c:axId val="15513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406563"/>
        <c:crosses val="autoZero"/>
        <c:crossBetween val="midCat"/>
        <c:dispUnits/>
        <c:majorUnit val="1"/>
      </c:valAx>
      <c:valAx>
        <c:axId val="5406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5138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&amp; OTHER ADMITS, BY RACE, PER 100,000: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CO_Data2!$AK$47:$AK$63</c:f>
              <c:numCache>
                <c:ptCount val="17"/>
                <c:pt idx="0">
                  <c:v>6.0038168781624135</c:v>
                </c:pt>
                <c:pt idx="1">
                  <c:v>10.13457097942567</c:v>
                </c:pt>
                <c:pt idx="2">
                  <c:v>7.834078775084739</c:v>
                </c:pt>
                <c:pt idx="3">
                  <c:v>10.128381008529761</c:v>
                </c:pt>
                <c:pt idx="4">
                  <c:v>12.647173958866572</c:v>
                </c:pt>
                <c:pt idx="5">
                  <c:v>9.05582121394038</c:v>
                </c:pt>
                <c:pt idx="6">
                  <c:v>9.797965942270386</c:v>
                </c:pt>
                <c:pt idx="7">
                  <c:v>11.025928934512732</c:v>
                </c:pt>
                <c:pt idx="8">
                  <c:v>8.444793545080078</c:v>
                </c:pt>
                <c:pt idx="9">
                  <c:v>12.557078036303269</c:v>
                </c:pt>
                <c:pt idx="10">
                  <c:v>13.711562037979974</c:v>
                </c:pt>
                <c:pt idx="11">
                  <c:v>14.55705784392505</c:v>
                </c:pt>
                <c:pt idx="12">
                  <c:v>14.675795884866533</c:v>
                </c:pt>
                <c:pt idx="13">
                  <c:v>15.033812862401625</c:v>
                </c:pt>
                <c:pt idx="14">
                  <c:v>18.045505888687515</c:v>
                </c:pt>
                <c:pt idx="15">
                  <c:v>22.639365790349228</c:v>
                </c:pt>
                <c:pt idx="16">
                  <c:v>27.318517548685502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CO_Data2!$AL$47:$AL$63</c:f>
              <c:numCache>
                <c:ptCount val="17"/>
                <c:pt idx="0">
                  <c:v>66.60531966171509</c:v>
                </c:pt>
                <c:pt idx="1">
                  <c:v>125.04924884800522</c:v>
                </c:pt>
                <c:pt idx="2">
                  <c:v>89.75317875841436</c:v>
                </c:pt>
                <c:pt idx="3">
                  <c:v>103.34193159903332</c:v>
                </c:pt>
                <c:pt idx="4">
                  <c:v>130.29263886557476</c:v>
                </c:pt>
                <c:pt idx="5">
                  <c:v>93.8071388822641</c:v>
                </c:pt>
                <c:pt idx="6">
                  <c:v>92.77969539954239</c:v>
                </c:pt>
                <c:pt idx="7">
                  <c:v>140.98800052676836</c:v>
                </c:pt>
                <c:pt idx="8">
                  <c:v>115.84260450281708</c:v>
                </c:pt>
                <c:pt idx="9">
                  <c:v>158.4045667233614</c:v>
                </c:pt>
                <c:pt idx="10">
                  <c:v>180.79080022971067</c:v>
                </c:pt>
                <c:pt idx="11">
                  <c:v>206.71906324354694</c:v>
                </c:pt>
                <c:pt idx="12">
                  <c:v>191.71779141104295</c:v>
                </c:pt>
                <c:pt idx="13">
                  <c:v>220.59865212199713</c:v>
                </c:pt>
                <c:pt idx="14">
                  <c:v>253.13771486885875</c:v>
                </c:pt>
                <c:pt idx="15">
                  <c:v>302.68732011771175</c:v>
                </c:pt>
                <c:pt idx="16">
                  <c:v>407.417279061798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CO_Data2!$AM$47:$AM$63</c:f>
              <c:numCache>
                <c:ptCount val="17"/>
                <c:pt idx="0">
                  <c:v>22.705341431571778</c:v>
                </c:pt>
                <c:pt idx="1">
                  <c:v>54.65376837732962</c:v>
                </c:pt>
                <c:pt idx="2">
                  <c:v>42.069835927639886</c:v>
                </c:pt>
                <c:pt idx="3">
                  <c:v>15.233839435332351</c:v>
                </c:pt>
                <c:pt idx="4">
                  <c:v>34.37945091105545</c:v>
                </c:pt>
                <c:pt idx="5">
                  <c:v>23.914291180409414</c:v>
                </c:pt>
                <c:pt idx="6">
                  <c:v>23.20616355704075</c:v>
                </c:pt>
                <c:pt idx="7">
                  <c:v>36.0311669594199</c:v>
                </c:pt>
                <c:pt idx="8">
                  <c:v>57.721339135067936</c:v>
                </c:pt>
                <c:pt idx="9">
                  <c:v>103.65379632029024</c:v>
                </c:pt>
                <c:pt idx="10">
                  <c:v>84.09014463504877</c:v>
                </c:pt>
                <c:pt idx="11">
                  <c:v>119.80500702305213</c:v>
                </c:pt>
                <c:pt idx="12">
                  <c:v>101.28018149408524</c:v>
                </c:pt>
                <c:pt idx="13">
                  <c:v>143.32921925389178</c:v>
                </c:pt>
                <c:pt idx="14">
                  <c:v>133.9109885781804</c:v>
                </c:pt>
                <c:pt idx="15">
                  <c:v>112.15097842060483</c:v>
                </c:pt>
                <c:pt idx="16">
                  <c:v>174.63933181473044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CO_Data2!$AN$68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CO_Data2!$AN$47:$AN$63</c:f>
              <c:numCache>
                <c:ptCount val="17"/>
                <c:pt idx="0">
                  <c:v>0</c:v>
                </c:pt>
                <c:pt idx="1">
                  <c:v>2.2568778352027805</c:v>
                </c:pt>
                <c:pt idx="2">
                  <c:v>0</c:v>
                </c:pt>
                <c:pt idx="3">
                  <c:v>0</c:v>
                </c:pt>
                <c:pt idx="4">
                  <c:v>3.9000799516390083</c:v>
                </c:pt>
                <c:pt idx="5">
                  <c:v>3.77251721210978</c:v>
                </c:pt>
                <c:pt idx="6">
                  <c:v>0</c:v>
                </c:pt>
                <c:pt idx="7">
                  <c:v>0</c:v>
                </c:pt>
                <c:pt idx="8">
                  <c:v>3.3433634236041456</c:v>
                </c:pt>
                <c:pt idx="9">
                  <c:v>1.5659009411064657</c:v>
                </c:pt>
                <c:pt idx="10">
                  <c:v>0</c:v>
                </c:pt>
                <c:pt idx="11">
                  <c:v>2.789400278940028</c:v>
                </c:pt>
                <c:pt idx="12">
                  <c:v>2.636470293570967</c:v>
                </c:pt>
                <c:pt idx="13">
                  <c:v>2.5247743482926213</c:v>
                </c:pt>
                <c:pt idx="14">
                  <c:v>3.612455747417094</c:v>
                </c:pt>
                <c:pt idx="15">
                  <c:v>4.580642206037287</c:v>
                </c:pt>
                <c:pt idx="16">
                  <c:v>4.381113021763179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CO_Data2!$AO$68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CO_Data2!$AO$47:$AO$63</c:f>
              <c:numCache>
                <c:ptCount val="17"/>
                <c:pt idx="0">
                  <c:v>22.730095968579608</c:v>
                </c:pt>
                <c:pt idx="1">
                  <c:v>59.374724516834945</c:v>
                </c:pt>
                <c:pt idx="2">
                  <c:v>27.736498178042872</c:v>
                </c:pt>
                <c:pt idx="3">
                  <c:v>40.79038247865387</c:v>
                </c:pt>
                <c:pt idx="4">
                  <c:v>50.36669410218296</c:v>
                </c:pt>
                <c:pt idx="5">
                  <c:v>35.40784502034739</c:v>
                </c:pt>
                <c:pt idx="6">
                  <c:v>40.156610782049995</c:v>
                </c:pt>
                <c:pt idx="7">
                  <c:v>43.880020819669454</c:v>
                </c:pt>
                <c:pt idx="8">
                  <c:v>32.6859695475717</c:v>
                </c:pt>
                <c:pt idx="9">
                  <c:v>45.54611544188491</c:v>
                </c:pt>
                <c:pt idx="10">
                  <c:v>52.88606829857963</c:v>
                </c:pt>
                <c:pt idx="11">
                  <c:v>48.148800022658264</c:v>
                </c:pt>
                <c:pt idx="12">
                  <c:v>47.10205575170599</c:v>
                </c:pt>
                <c:pt idx="13">
                  <c:v>66.14946405816654</c:v>
                </c:pt>
                <c:pt idx="14">
                  <c:v>67.757861799124</c:v>
                </c:pt>
                <c:pt idx="15">
                  <c:v>76.60503103108988</c:v>
                </c:pt>
                <c:pt idx="16">
                  <c:v>96.59002422206096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CO_Data2!$AQ$24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CO_Data2!$AQ$47:$AQ$63</c:f>
              <c:numCache>
                <c:ptCount val="17"/>
                <c:pt idx="0">
                  <c:v>10.243714236752341</c:v>
                </c:pt>
                <c:pt idx="1">
                  <c:v>20.50479007669107</c:v>
                </c:pt>
                <c:pt idx="2">
                  <c:v>13.432134839934767</c:v>
                </c:pt>
                <c:pt idx="3">
                  <c:v>17.328452949080297</c:v>
                </c:pt>
                <c:pt idx="4">
                  <c:v>21.867945823927766</c:v>
                </c:pt>
                <c:pt idx="5">
                  <c:v>15.663891511458242</c:v>
                </c:pt>
                <c:pt idx="6">
                  <c:v>16.820205737674392</c:v>
                </c:pt>
                <c:pt idx="7">
                  <c:v>20.33983259591351</c:v>
                </c:pt>
                <c:pt idx="8">
                  <c:v>16.094705762350088</c:v>
                </c:pt>
                <c:pt idx="9">
                  <c:v>23.09251891982503</c:v>
                </c:pt>
                <c:pt idx="10">
                  <c:v>25.780115274746382</c:v>
                </c:pt>
                <c:pt idx="11">
                  <c:v>27.14899929117028</c:v>
                </c:pt>
                <c:pt idx="12">
                  <c:v>26.37731165970807</c:v>
                </c:pt>
                <c:pt idx="13">
                  <c:v>30.765470074351196</c:v>
                </c:pt>
                <c:pt idx="14">
                  <c:v>34.71853700042634</c:v>
                </c:pt>
                <c:pt idx="15">
                  <c:v>41.5977255542815</c:v>
                </c:pt>
                <c:pt idx="16">
                  <c:v>52.8335732580761</c:v>
                </c:pt>
              </c:numCache>
            </c:numRef>
          </c:yVal>
          <c:smooth val="0"/>
        </c:ser>
        <c:axId val="48659068"/>
        <c:axId val="35278429"/>
      </c:scatterChart>
      <c:valAx>
        <c:axId val="48659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5278429"/>
        <c:crosses val="autoZero"/>
        <c:crossBetween val="midCat"/>
        <c:dispUnits/>
        <c:majorUnit val="1"/>
      </c:valAx>
      <c:valAx>
        <c:axId val="35278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86590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OFFENSES, PER 100,000: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40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CO_Data3!$L$3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CO_Data3!$L$4:$L$20</c:f>
              <c:numCache>
                <c:ptCount val="17"/>
                <c:pt idx="0">
                  <c:v>10.72940177581283</c:v>
                </c:pt>
                <c:pt idx="1">
                  <c:v>7.600928234569252</c:v>
                </c:pt>
                <c:pt idx="2">
                  <c:v>9.849642731781298</c:v>
                </c:pt>
                <c:pt idx="3">
                  <c:v>12.055796797466392</c:v>
                </c:pt>
                <c:pt idx="4">
                  <c:v>11.894365985124514</c:v>
                </c:pt>
                <c:pt idx="5">
                  <c:v>9.584077451420235</c:v>
                </c:pt>
                <c:pt idx="6">
                  <c:v>11.343029802397638</c:v>
                </c:pt>
                <c:pt idx="7">
                  <c:v>10.725903657383135</c:v>
                </c:pt>
                <c:pt idx="8">
                  <c:v>10.73115686296202</c:v>
                </c:pt>
                <c:pt idx="9">
                  <c:v>9.282882903628204</c:v>
                </c:pt>
                <c:pt idx="10">
                  <c:v>10.590515947493484</c:v>
                </c:pt>
                <c:pt idx="11">
                  <c:v>9.761791730632092</c:v>
                </c:pt>
                <c:pt idx="12">
                  <c:v>10.880910450106995</c:v>
                </c:pt>
                <c:pt idx="13">
                  <c:v>12.820042616729296</c:v>
                </c:pt>
                <c:pt idx="14">
                  <c:v>13.135827709963523</c:v>
                </c:pt>
                <c:pt idx="15">
                  <c:v>14.313715004647955</c:v>
                </c:pt>
                <c:pt idx="16">
                  <c:v>11.991192610655732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CO_Data3!$M$3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CO_Data3!$M$4:$M$20</c:f>
              <c:numCache>
                <c:ptCount val="17"/>
                <c:pt idx="0">
                  <c:v>78.87472065203102</c:v>
                </c:pt>
                <c:pt idx="1">
                  <c:v>41.9685835174812</c:v>
                </c:pt>
                <c:pt idx="2">
                  <c:v>81.44269924374636</c:v>
                </c:pt>
                <c:pt idx="3">
                  <c:v>71.60700772216481</c:v>
                </c:pt>
                <c:pt idx="4">
                  <c:v>87.92754770069463</c:v>
                </c:pt>
                <c:pt idx="5">
                  <c:v>85.0624055966293</c:v>
                </c:pt>
                <c:pt idx="6">
                  <c:v>118.72655936721102</c:v>
                </c:pt>
                <c:pt idx="7">
                  <c:v>82.11389041668926</c:v>
                </c:pt>
                <c:pt idx="8">
                  <c:v>110.57703157087086</c:v>
                </c:pt>
                <c:pt idx="9">
                  <c:v>97.0866699272215</c:v>
                </c:pt>
                <c:pt idx="10">
                  <c:v>95.00379306188717</c:v>
                </c:pt>
                <c:pt idx="11">
                  <c:v>101.97215535839396</c:v>
                </c:pt>
                <c:pt idx="12">
                  <c:v>123.24715162138475</c:v>
                </c:pt>
                <c:pt idx="13">
                  <c:v>124.80351878461612</c:v>
                </c:pt>
                <c:pt idx="14">
                  <c:v>87.47167110651664</c:v>
                </c:pt>
                <c:pt idx="15">
                  <c:v>95.72163114833619</c:v>
                </c:pt>
                <c:pt idx="16">
                  <c:v>81.86421962456687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CO_Data3!$N$3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CO_Data3!$N$4:$N$20</c:f>
              <c:numCache>
                <c:ptCount val="17"/>
                <c:pt idx="0">
                  <c:v>13.613789767474987</c:v>
                </c:pt>
                <c:pt idx="1">
                  <c:v>9.075213680866254</c:v>
                </c:pt>
                <c:pt idx="2">
                  <c:v>12.982446060118543</c:v>
                </c:pt>
                <c:pt idx="3">
                  <c:v>14.698855836727855</c:v>
                </c:pt>
                <c:pt idx="4">
                  <c:v>15.31369896646911</c:v>
                </c:pt>
                <c:pt idx="5">
                  <c:v>13.00423376064789</c:v>
                </c:pt>
                <c:pt idx="6">
                  <c:v>16.25434453097046</c:v>
                </c:pt>
                <c:pt idx="7">
                  <c:v>14.022380721229705</c:v>
                </c:pt>
                <c:pt idx="8">
                  <c:v>15.397221961500616</c:v>
                </c:pt>
                <c:pt idx="9">
                  <c:v>13.407399787401845</c:v>
                </c:pt>
                <c:pt idx="10">
                  <c:v>14.569003109279219</c:v>
                </c:pt>
                <c:pt idx="11">
                  <c:v>14.100583509563428</c:v>
                </c:pt>
                <c:pt idx="12">
                  <c:v>16.13450543259042</c:v>
                </c:pt>
                <c:pt idx="13">
                  <c:v>18.048699359696403</c:v>
                </c:pt>
                <c:pt idx="14">
                  <c:v>16.612613684826485</c:v>
                </c:pt>
                <c:pt idx="15">
                  <c:v>18.15411408838582</c:v>
                </c:pt>
                <c:pt idx="16">
                  <c:v>15.292766521435363</c:v>
                </c:pt>
              </c:numCache>
            </c:numRef>
          </c:yVal>
          <c:smooth val="1"/>
        </c:ser>
        <c:axId val="56651116"/>
        <c:axId val="40097997"/>
      </c:scatterChart>
      <c:valAx>
        <c:axId val="56651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0097997"/>
        <c:crossesAt val="0"/>
        <c:crossBetween val="midCat"/>
        <c:dispUnits/>
        <c:majorUnit val="1"/>
      </c:valAx>
      <c:valAx>
        <c:axId val="40097997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6651116"/>
        <c:crosses val="autoZero"/>
        <c:crossBetween val="midCat"/>
        <c:dispUnits/>
        <c:majorUnit val="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5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ADMISSIONS, ALL RACES: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"/>
          <c:w val="0.945"/>
          <c:h val="0.858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CO_Data2!$Q$3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CO_Data2!$Q$4:$Q$20</c:f>
              <c:numCache>
                <c:ptCount val="17"/>
                <c:pt idx="0">
                  <c:v>55.32024793388429</c:v>
                </c:pt>
                <c:pt idx="1">
                  <c:v>52.825298081907725</c:v>
                </c:pt>
                <c:pt idx="2">
                  <c:v>55.11520737327189</c:v>
                </c:pt>
                <c:pt idx="3">
                  <c:v>54.315122723673795</c:v>
                </c:pt>
                <c:pt idx="4">
                  <c:v>52.86388140161725</c:v>
                </c:pt>
                <c:pt idx="5">
                  <c:v>50.899139953088344</c:v>
                </c:pt>
                <c:pt idx="6">
                  <c:v>50.249066002490665</c:v>
                </c:pt>
                <c:pt idx="7">
                  <c:v>49.28861788617886</c:v>
                </c:pt>
                <c:pt idx="8">
                  <c:v>47.05484089370346</c:v>
                </c:pt>
                <c:pt idx="9">
                  <c:v>47.570119411274646</c:v>
                </c:pt>
                <c:pt idx="10">
                  <c:v>45.957334737951015</c:v>
                </c:pt>
                <c:pt idx="11">
                  <c:v>43.060765191297826</c:v>
                </c:pt>
                <c:pt idx="12">
                  <c:v>42.297357814599195</c:v>
                </c:pt>
                <c:pt idx="13">
                  <c:v>42.507462686567166</c:v>
                </c:pt>
                <c:pt idx="14">
                  <c:v>43.4233199310741</c:v>
                </c:pt>
                <c:pt idx="15">
                  <c:v>46.56581464093201</c:v>
                </c:pt>
                <c:pt idx="16">
                  <c:v>44.98046543230848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CO_Data2!$R$4:$R$20</c:f>
              <c:numCache>
                <c:ptCount val="17"/>
                <c:pt idx="0">
                  <c:v>18.801652892561986</c:v>
                </c:pt>
                <c:pt idx="1">
                  <c:v>18.973561430793158</c:v>
                </c:pt>
                <c:pt idx="2">
                  <c:v>19.53917050691244</c:v>
                </c:pt>
                <c:pt idx="3">
                  <c:v>20.42755344418052</c:v>
                </c:pt>
                <c:pt idx="4">
                  <c:v>20.855795148247978</c:v>
                </c:pt>
                <c:pt idx="5">
                  <c:v>22.087568412822517</c:v>
                </c:pt>
                <c:pt idx="6">
                  <c:v>23.785803237858033</c:v>
                </c:pt>
                <c:pt idx="7">
                  <c:v>23.170731707317074</c:v>
                </c:pt>
                <c:pt idx="8">
                  <c:v>24.035206499661477</c:v>
                </c:pt>
                <c:pt idx="9">
                  <c:v>23.77117467370175</c:v>
                </c:pt>
                <c:pt idx="10">
                  <c:v>25.15143534369239</c:v>
                </c:pt>
                <c:pt idx="11">
                  <c:v>26.081520380095025</c:v>
                </c:pt>
                <c:pt idx="12">
                  <c:v>25.30228392297358</c:v>
                </c:pt>
                <c:pt idx="13">
                  <c:v>23.601990049751244</c:v>
                </c:pt>
                <c:pt idx="14">
                  <c:v>24.04748228987172</c:v>
                </c:pt>
                <c:pt idx="15">
                  <c:v>22.065727699530516</c:v>
                </c:pt>
                <c:pt idx="16">
                  <c:v>22.982843553592662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CO_Data2!$S$4:$S$20</c:f>
              <c:numCache>
                <c:ptCount val="17"/>
                <c:pt idx="0">
                  <c:v>1.084710743801653</c:v>
                </c:pt>
                <c:pt idx="1">
                  <c:v>1.347848626231208</c:v>
                </c:pt>
                <c:pt idx="2">
                  <c:v>1.3824884792626728</c:v>
                </c:pt>
                <c:pt idx="3">
                  <c:v>0.831353919239905</c:v>
                </c:pt>
                <c:pt idx="4">
                  <c:v>1.078167115902965</c:v>
                </c:pt>
                <c:pt idx="5">
                  <c:v>1.09460516028147</c:v>
                </c:pt>
                <c:pt idx="6">
                  <c:v>1.0273972602739725</c:v>
                </c:pt>
                <c:pt idx="7">
                  <c:v>1.0162601626016259</c:v>
                </c:pt>
                <c:pt idx="8">
                  <c:v>1.7941773865944481</c:v>
                </c:pt>
                <c:pt idx="9">
                  <c:v>2.33268536517634</c:v>
                </c:pt>
                <c:pt idx="10">
                  <c:v>2.6073215696602583</c:v>
                </c:pt>
                <c:pt idx="11">
                  <c:v>2.5756439109777443</c:v>
                </c:pt>
                <c:pt idx="12">
                  <c:v>2.3958799820868784</c:v>
                </c:pt>
                <c:pt idx="13">
                  <c:v>2.208955223880597</c:v>
                </c:pt>
                <c:pt idx="14">
                  <c:v>2.067777139574957</c:v>
                </c:pt>
                <c:pt idx="15">
                  <c:v>1.686663189010607</c:v>
                </c:pt>
                <c:pt idx="16">
                  <c:v>2.157295736368269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CO_Data2!$T$3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CO_Data2!$T$4:$T$20</c:f>
              <c:numCache>
                <c:ptCount val="17"/>
                <c:pt idx="0">
                  <c:v>0.2066115702479339</c:v>
                </c:pt>
                <c:pt idx="1">
                  <c:v>0.3110419906687403</c:v>
                </c:pt>
                <c:pt idx="2">
                  <c:v>0.3686635944700461</c:v>
                </c:pt>
                <c:pt idx="3">
                  <c:v>0.11876484560570072</c:v>
                </c:pt>
                <c:pt idx="4">
                  <c:v>0.1684636118598383</c:v>
                </c:pt>
                <c:pt idx="5">
                  <c:v>0.23455824863174357</c:v>
                </c:pt>
                <c:pt idx="6">
                  <c:v>0.4047322540473225</c:v>
                </c:pt>
                <c:pt idx="7">
                  <c:v>0.16937669376693767</c:v>
                </c:pt>
                <c:pt idx="8">
                  <c:v>0.5416384563303994</c:v>
                </c:pt>
                <c:pt idx="9">
                  <c:v>0.30547070258261594</c:v>
                </c:pt>
                <c:pt idx="10">
                  <c:v>0.3423755596523571</c:v>
                </c:pt>
                <c:pt idx="11">
                  <c:v>0.5251312828207052</c:v>
                </c:pt>
                <c:pt idx="12">
                  <c:v>0.49261083743842365</c:v>
                </c:pt>
                <c:pt idx="13">
                  <c:v>0.417910447761194</c:v>
                </c:pt>
                <c:pt idx="14">
                  <c:v>0.47865211564235116</c:v>
                </c:pt>
                <c:pt idx="15">
                  <c:v>0.48687184837419584</c:v>
                </c:pt>
                <c:pt idx="16">
                  <c:v>0.6115169016476983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CO_Data2!$U$3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CO_Data2!$U$4:$U$20</c:f>
              <c:numCache>
                <c:ptCount val="17"/>
                <c:pt idx="0">
                  <c:v>24.586776859504134</c:v>
                </c:pt>
                <c:pt idx="1">
                  <c:v>26.54224987039917</c:v>
                </c:pt>
                <c:pt idx="2">
                  <c:v>23.59447004608295</c:v>
                </c:pt>
                <c:pt idx="3">
                  <c:v>24.307205067300078</c:v>
                </c:pt>
                <c:pt idx="4">
                  <c:v>25.03369272237197</c:v>
                </c:pt>
                <c:pt idx="5">
                  <c:v>25.684128225175918</c:v>
                </c:pt>
                <c:pt idx="6">
                  <c:v>24.533001245330013</c:v>
                </c:pt>
                <c:pt idx="7">
                  <c:v>26.355013550135503</c:v>
                </c:pt>
                <c:pt idx="8">
                  <c:v>26.57413676371022</c:v>
                </c:pt>
                <c:pt idx="9">
                  <c:v>26.02054984726465</c:v>
                </c:pt>
                <c:pt idx="10">
                  <c:v>25.94153278904398</c:v>
                </c:pt>
                <c:pt idx="11">
                  <c:v>27.7569392348087</c:v>
                </c:pt>
                <c:pt idx="12">
                  <c:v>29.511867442901924</c:v>
                </c:pt>
                <c:pt idx="13">
                  <c:v>31.2636815920398</c:v>
                </c:pt>
                <c:pt idx="14">
                  <c:v>29.982768523836878</c:v>
                </c:pt>
                <c:pt idx="15">
                  <c:v>29.19492262215267</c:v>
                </c:pt>
                <c:pt idx="16">
                  <c:v>29.267878376082894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CO_Data2!$V$3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49070406"/>
        <c:axId val="38980471"/>
      </c:scatterChart>
      <c:valAx>
        <c:axId val="49070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8980471"/>
        <c:crosses val="autoZero"/>
        <c:crossBetween val="midCat"/>
        <c:dispUnits/>
        <c:majorUnit val="1"/>
      </c:valAx>
      <c:valAx>
        <c:axId val="3898047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90704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81"/>
          <c:w val="0.9385"/>
          <c:h val="0.919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CO_Data2!$R$4:$R$20</c:f>
              <c:numCache>
                <c:ptCount val="17"/>
                <c:pt idx="0">
                  <c:v>18.801652892561986</c:v>
                </c:pt>
                <c:pt idx="1">
                  <c:v>18.973561430793158</c:v>
                </c:pt>
                <c:pt idx="2">
                  <c:v>19.53917050691244</c:v>
                </c:pt>
                <c:pt idx="3">
                  <c:v>20.42755344418052</c:v>
                </c:pt>
                <c:pt idx="4">
                  <c:v>20.855795148247978</c:v>
                </c:pt>
                <c:pt idx="5">
                  <c:v>22.087568412822517</c:v>
                </c:pt>
                <c:pt idx="6">
                  <c:v>23.785803237858033</c:v>
                </c:pt>
                <c:pt idx="7">
                  <c:v>23.170731707317074</c:v>
                </c:pt>
                <c:pt idx="8">
                  <c:v>24.035206499661477</c:v>
                </c:pt>
                <c:pt idx="9">
                  <c:v>23.77117467370175</c:v>
                </c:pt>
                <c:pt idx="10">
                  <c:v>25.15143534369239</c:v>
                </c:pt>
                <c:pt idx="11">
                  <c:v>26.081520380095025</c:v>
                </c:pt>
                <c:pt idx="12">
                  <c:v>25.30228392297358</c:v>
                </c:pt>
                <c:pt idx="13">
                  <c:v>23.601990049751244</c:v>
                </c:pt>
                <c:pt idx="14">
                  <c:v>24.04748228987172</c:v>
                </c:pt>
                <c:pt idx="15">
                  <c:v>22.065727699530516</c:v>
                </c:pt>
                <c:pt idx="16">
                  <c:v>22.982843553592662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CO_Data2!$S$3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CO_Data2!$S$4:$S$20</c:f>
              <c:numCache>
                <c:ptCount val="17"/>
                <c:pt idx="0">
                  <c:v>1.084710743801653</c:v>
                </c:pt>
                <c:pt idx="1">
                  <c:v>1.347848626231208</c:v>
                </c:pt>
                <c:pt idx="2">
                  <c:v>1.3824884792626728</c:v>
                </c:pt>
                <c:pt idx="3">
                  <c:v>0.831353919239905</c:v>
                </c:pt>
                <c:pt idx="4">
                  <c:v>1.078167115902965</c:v>
                </c:pt>
                <c:pt idx="5">
                  <c:v>1.09460516028147</c:v>
                </c:pt>
                <c:pt idx="6">
                  <c:v>1.0273972602739725</c:v>
                </c:pt>
                <c:pt idx="7">
                  <c:v>1.0162601626016259</c:v>
                </c:pt>
                <c:pt idx="8">
                  <c:v>1.7941773865944481</c:v>
                </c:pt>
                <c:pt idx="9">
                  <c:v>2.33268536517634</c:v>
                </c:pt>
                <c:pt idx="10">
                  <c:v>2.6073215696602583</c:v>
                </c:pt>
                <c:pt idx="11">
                  <c:v>2.5756439109777443</c:v>
                </c:pt>
                <c:pt idx="12">
                  <c:v>2.3958799820868784</c:v>
                </c:pt>
                <c:pt idx="13">
                  <c:v>2.208955223880597</c:v>
                </c:pt>
                <c:pt idx="14">
                  <c:v>2.067777139574957</c:v>
                </c:pt>
                <c:pt idx="15">
                  <c:v>1.686663189010607</c:v>
                </c:pt>
                <c:pt idx="16">
                  <c:v>2.157295736368269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CO_Data2!$T$3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CO_Data2!$T$4:$T$20</c:f>
              <c:numCache>
                <c:ptCount val="17"/>
                <c:pt idx="0">
                  <c:v>0.2066115702479339</c:v>
                </c:pt>
                <c:pt idx="1">
                  <c:v>0.3110419906687403</c:v>
                </c:pt>
                <c:pt idx="2">
                  <c:v>0.3686635944700461</c:v>
                </c:pt>
                <c:pt idx="3">
                  <c:v>0.11876484560570072</c:v>
                </c:pt>
                <c:pt idx="4">
                  <c:v>0.1684636118598383</c:v>
                </c:pt>
                <c:pt idx="5">
                  <c:v>0.23455824863174357</c:v>
                </c:pt>
                <c:pt idx="6">
                  <c:v>0.4047322540473225</c:v>
                </c:pt>
                <c:pt idx="7">
                  <c:v>0.16937669376693767</c:v>
                </c:pt>
                <c:pt idx="8">
                  <c:v>0.5416384563303994</c:v>
                </c:pt>
                <c:pt idx="9">
                  <c:v>0.30547070258261594</c:v>
                </c:pt>
                <c:pt idx="10">
                  <c:v>0.3423755596523571</c:v>
                </c:pt>
                <c:pt idx="11">
                  <c:v>0.5251312828207052</c:v>
                </c:pt>
                <c:pt idx="12">
                  <c:v>0.49261083743842365</c:v>
                </c:pt>
                <c:pt idx="13">
                  <c:v>0.417910447761194</c:v>
                </c:pt>
                <c:pt idx="14">
                  <c:v>0.47865211564235116</c:v>
                </c:pt>
                <c:pt idx="15">
                  <c:v>0.48687184837419584</c:v>
                </c:pt>
                <c:pt idx="16">
                  <c:v>0.6115169016476983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CO_Data2!$U$3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CO_Data2!$U$4:$U$20</c:f>
              <c:numCache>
                <c:ptCount val="17"/>
                <c:pt idx="0">
                  <c:v>24.586776859504134</c:v>
                </c:pt>
                <c:pt idx="1">
                  <c:v>26.54224987039917</c:v>
                </c:pt>
                <c:pt idx="2">
                  <c:v>23.59447004608295</c:v>
                </c:pt>
                <c:pt idx="3">
                  <c:v>24.307205067300078</c:v>
                </c:pt>
                <c:pt idx="4">
                  <c:v>25.03369272237197</c:v>
                </c:pt>
                <c:pt idx="5">
                  <c:v>25.684128225175918</c:v>
                </c:pt>
                <c:pt idx="6">
                  <c:v>24.533001245330013</c:v>
                </c:pt>
                <c:pt idx="7">
                  <c:v>26.355013550135503</c:v>
                </c:pt>
                <c:pt idx="8">
                  <c:v>26.57413676371022</c:v>
                </c:pt>
                <c:pt idx="9">
                  <c:v>26.02054984726465</c:v>
                </c:pt>
                <c:pt idx="10">
                  <c:v>25.94153278904398</c:v>
                </c:pt>
                <c:pt idx="11">
                  <c:v>27.7569392348087</c:v>
                </c:pt>
                <c:pt idx="12">
                  <c:v>29.511867442901924</c:v>
                </c:pt>
                <c:pt idx="13">
                  <c:v>31.2636815920398</c:v>
                </c:pt>
                <c:pt idx="14">
                  <c:v>29.982768523836878</c:v>
                </c:pt>
                <c:pt idx="15">
                  <c:v>29.19492262215267</c:v>
                </c:pt>
                <c:pt idx="16">
                  <c:v>29.267878376082894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CO_Data2!$V$3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15279920"/>
        <c:axId val="3301553"/>
      </c:scatterChart>
      <c:valAx>
        <c:axId val="15279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301553"/>
        <c:crosses val="autoZero"/>
        <c:crossBetween val="midCat"/>
        <c:dispUnits/>
        <c:majorUnit val="1"/>
      </c:valAx>
      <c:valAx>
        <c:axId val="3301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2799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1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CO_Data2!$D$4:$D$20</c:f>
              <c:numCache>
                <c:ptCount val="17"/>
                <c:pt idx="0">
                  <c:v>21</c:v>
                </c:pt>
                <c:pt idx="1">
                  <c:v>26</c:v>
                </c:pt>
                <c:pt idx="2">
                  <c:v>30</c:v>
                </c:pt>
                <c:pt idx="3">
                  <c:v>21</c:v>
                </c:pt>
                <c:pt idx="4">
                  <c:v>32</c:v>
                </c:pt>
                <c:pt idx="5">
                  <c:v>28</c:v>
                </c:pt>
                <c:pt idx="6">
                  <c:v>33</c:v>
                </c:pt>
                <c:pt idx="7">
                  <c:v>30</c:v>
                </c:pt>
                <c:pt idx="8">
                  <c:v>53</c:v>
                </c:pt>
                <c:pt idx="9">
                  <c:v>84</c:v>
                </c:pt>
                <c:pt idx="10">
                  <c:v>99</c:v>
                </c:pt>
                <c:pt idx="11">
                  <c:v>103</c:v>
                </c:pt>
                <c:pt idx="12">
                  <c:v>107</c:v>
                </c:pt>
                <c:pt idx="13">
                  <c:v>111</c:v>
                </c:pt>
                <c:pt idx="14">
                  <c:v>108</c:v>
                </c:pt>
                <c:pt idx="15">
                  <c:v>97</c:v>
                </c:pt>
                <c:pt idx="16">
                  <c:v>127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CO_Data2!$E$4:$E$20</c:f>
              <c:numCache>
                <c:ptCount val="17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13</c:v>
                </c:pt>
                <c:pt idx="7">
                  <c:v>5</c:v>
                </c:pt>
                <c:pt idx="8">
                  <c:v>16</c:v>
                </c:pt>
                <c:pt idx="9">
                  <c:v>11</c:v>
                </c:pt>
                <c:pt idx="10">
                  <c:v>13</c:v>
                </c:pt>
                <c:pt idx="11">
                  <c:v>21</c:v>
                </c:pt>
                <c:pt idx="12">
                  <c:v>22</c:v>
                </c:pt>
                <c:pt idx="13">
                  <c:v>21</c:v>
                </c:pt>
                <c:pt idx="14">
                  <c:v>25</c:v>
                </c:pt>
                <c:pt idx="15">
                  <c:v>28</c:v>
                </c:pt>
                <c:pt idx="16">
                  <c:v>36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CO_Data2!$F$3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CO_Data2!$F$4:$F$20</c:f>
              <c:numCache>
                <c:ptCount val="17"/>
                <c:pt idx="0">
                  <c:v>476</c:v>
                </c:pt>
                <c:pt idx="1">
                  <c:v>512</c:v>
                </c:pt>
                <c:pt idx="2">
                  <c:v>512</c:v>
                </c:pt>
                <c:pt idx="3">
                  <c:v>614</c:v>
                </c:pt>
                <c:pt idx="4">
                  <c:v>743</c:v>
                </c:pt>
                <c:pt idx="5">
                  <c:v>657</c:v>
                </c:pt>
                <c:pt idx="6">
                  <c:v>788</c:v>
                </c:pt>
                <c:pt idx="7">
                  <c:v>778</c:v>
                </c:pt>
                <c:pt idx="8">
                  <c:v>785</c:v>
                </c:pt>
                <c:pt idx="9">
                  <c:v>937</c:v>
                </c:pt>
                <c:pt idx="10">
                  <c:v>985</c:v>
                </c:pt>
                <c:pt idx="11">
                  <c:v>1110</c:v>
                </c:pt>
                <c:pt idx="12">
                  <c:v>1318</c:v>
                </c:pt>
                <c:pt idx="13">
                  <c:v>1571</c:v>
                </c:pt>
                <c:pt idx="14">
                  <c:v>1566</c:v>
                </c:pt>
                <c:pt idx="15">
                  <c:v>1679</c:v>
                </c:pt>
                <c:pt idx="16">
                  <c:v>1723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CO_Data2!$G$3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CO_Data2!$G$4:$G$20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29713978"/>
        <c:axId val="66099211"/>
      </c:scatterChart>
      <c:valAx>
        <c:axId val="29713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6099211"/>
        <c:crosses val="autoZero"/>
        <c:crossBetween val="midCat"/>
        <c:dispUnits/>
        <c:majorUnit val="1"/>
      </c:valAx>
      <c:valAx>
        <c:axId val="66099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97139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25"/>
          <c:y val="0.95125"/>
          <c:w val="0.671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CO_Data2!$AM$4:$AM$20</c:f>
              <c:numCache>
                <c:ptCount val="17"/>
                <c:pt idx="0">
                  <c:v>119.20304251575183</c:v>
                </c:pt>
                <c:pt idx="1">
                  <c:v>142.099797781057</c:v>
                </c:pt>
                <c:pt idx="2">
                  <c:v>157.76188472864956</c:v>
                </c:pt>
                <c:pt idx="3">
                  <c:v>106.63687604732647</c:v>
                </c:pt>
                <c:pt idx="4">
                  <c:v>157.16320416482492</c:v>
                </c:pt>
                <c:pt idx="5">
                  <c:v>133.9200306102927</c:v>
                </c:pt>
                <c:pt idx="6">
                  <c:v>153.16067947646894</c:v>
                </c:pt>
                <c:pt idx="7">
                  <c:v>135.11687609782462</c:v>
                </c:pt>
                <c:pt idx="8">
                  <c:v>235.32545955066158</c:v>
                </c:pt>
                <c:pt idx="9">
                  <c:v>362.7882871210158</c:v>
                </c:pt>
                <c:pt idx="10">
                  <c:v>416.24621594349145</c:v>
                </c:pt>
                <c:pt idx="11">
                  <c:v>425.5143352887714</c:v>
                </c:pt>
                <c:pt idx="12">
                  <c:v>433.4791767946848</c:v>
                </c:pt>
                <c:pt idx="13">
                  <c:v>441.9317593661663</c:v>
                </c:pt>
                <c:pt idx="14">
                  <c:v>425.3643166601024</c:v>
                </c:pt>
                <c:pt idx="15">
                  <c:v>375.12568644133347</c:v>
                </c:pt>
                <c:pt idx="16">
                  <c:v>482.1564160971906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CO_Data2!$AN$4:$AN$20</c:f>
              <c:numCache>
                <c:ptCount val="17"/>
                <c:pt idx="0">
                  <c:v>9.554976948618112</c:v>
                </c:pt>
                <c:pt idx="1">
                  <c:v>13.541267011216682</c:v>
                </c:pt>
                <c:pt idx="2">
                  <c:v>17.073587160662456</c:v>
                </c:pt>
                <c:pt idx="3">
                  <c:v>6.093845216331505</c:v>
                </c:pt>
                <c:pt idx="4">
                  <c:v>9.750199879097522</c:v>
                </c:pt>
                <c:pt idx="5">
                  <c:v>11.317551636329341</c:v>
                </c:pt>
                <c:pt idx="6">
                  <c:v>23.585333551044105</c:v>
                </c:pt>
                <c:pt idx="7">
                  <c:v>8.667464073361415</c:v>
                </c:pt>
                <c:pt idx="8">
                  <c:v>26.746907388833165</c:v>
                </c:pt>
                <c:pt idx="9">
                  <c:v>17.224910352171122</c:v>
                </c:pt>
                <c:pt idx="10">
                  <c:v>19.13199605586543</c:v>
                </c:pt>
                <c:pt idx="11">
                  <c:v>29.288702928870293</c:v>
                </c:pt>
                <c:pt idx="12">
                  <c:v>29.00117322928064</c:v>
                </c:pt>
                <c:pt idx="13">
                  <c:v>26.510130657072526</c:v>
                </c:pt>
                <c:pt idx="14">
                  <c:v>30.103797895142453</c:v>
                </c:pt>
                <c:pt idx="15">
                  <c:v>32.064495442261006</c:v>
                </c:pt>
                <c:pt idx="16">
                  <c:v>39.43001719586861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CO_Data2!$AO$3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CO_Data2!$AO$4:$AO$20</c:f>
              <c:numCache>
                <c:ptCount val="17"/>
                <c:pt idx="0">
                  <c:v>125.80843815167316</c:v>
                </c:pt>
                <c:pt idx="1">
                  <c:v>132.75047577563095</c:v>
                </c:pt>
                <c:pt idx="2">
                  <c:v>130.28520245099037</c:v>
                </c:pt>
                <c:pt idx="3">
                  <c:v>153.6521155944385</c:v>
                </c:pt>
                <c:pt idx="4">
                  <c:v>182.54855472157047</c:v>
                </c:pt>
                <c:pt idx="5">
                  <c:v>159.33530259156322</c:v>
                </c:pt>
                <c:pt idx="6">
                  <c:v>188.35362676342498</c:v>
                </c:pt>
                <c:pt idx="7">
                  <c:v>181.58859679629168</c:v>
                </c:pt>
                <c:pt idx="8">
                  <c:v>178.183931214193</c:v>
                </c:pt>
                <c:pt idx="9">
                  <c:v>205.1764911973373</c:v>
                </c:pt>
                <c:pt idx="10">
                  <c:v>206.71737013532118</c:v>
                </c:pt>
                <c:pt idx="11">
                  <c:v>224.55952951743978</c:v>
                </c:pt>
                <c:pt idx="12">
                  <c:v>256.5310309121839</c:v>
                </c:pt>
                <c:pt idx="13">
                  <c:v>294.39322389625966</c:v>
                </c:pt>
                <c:pt idx="14">
                  <c:v>281.4557336271305</c:v>
                </c:pt>
                <c:pt idx="15">
                  <c:v>290.338255307449</c:v>
                </c:pt>
                <c:pt idx="16">
                  <c:v>285.4624558055078</c:v>
                </c:pt>
              </c:numCache>
            </c:numRef>
          </c:yVal>
          <c:smooth val="0"/>
        </c:ser>
        <c:axId val="58021988"/>
        <c:axId val="52435845"/>
      </c:scatterChart>
      <c:valAx>
        <c:axId val="58021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2435845"/>
        <c:crosses val="autoZero"/>
        <c:crossBetween val="midCat"/>
        <c:dispUnits/>
        <c:majorUnit val="1"/>
      </c:valAx>
      <c:valAx>
        <c:axId val="52435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80219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NEW ADMISSIONS: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7"/>
          <c:w val="0.9385"/>
          <c:h val="0.861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CO_Data2!$R$24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CO_Data2!$R$25:$R$41</c:f>
              <c:numCache>
                <c:ptCount val="17"/>
                <c:pt idx="0">
                  <c:v>17.8328173374613</c:v>
                </c:pt>
                <c:pt idx="1">
                  <c:v>17.200938232994528</c:v>
                </c:pt>
                <c:pt idx="2">
                  <c:v>18.171362852213914</c:v>
                </c:pt>
                <c:pt idx="3">
                  <c:v>19.796437659033078</c:v>
                </c:pt>
                <c:pt idx="4">
                  <c:v>20.221729490022174</c:v>
                </c:pt>
                <c:pt idx="5">
                  <c:v>21.836834391792866</c:v>
                </c:pt>
                <c:pt idx="6">
                  <c:v>24.276587748966556</c:v>
                </c:pt>
                <c:pt idx="7">
                  <c:v>22.017543859649123</c:v>
                </c:pt>
                <c:pt idx="8">
                  <c:v>23.0514096185738</c:v>
                </c:pt>
                <c:pt idx="9">
                  <c:v>22.805139186295502</c:v>
                </c:pt>
                <c:pt idx="10">
                  <c:v>24.313997915943037</c:v>
                </c:pt>
                <c:pt idx="11">
                  <c:v>24.775523777851678</c:v>
                </c:pt>
                <c:pt idx="12">
                  <c:v>24.42528735632184</c:v>
                </c:pt>
                <c:pt idx="13">
                  <c:v>22.300103842159917</c:v>
                </c:pt>
                <c:pt idx="14">
                  <c:v>22.57231404958678</c:v>
                </c:pt>
                <c:pt idx="15">
                  <c:v>19.53658536585366</c:v>
                </c:pt>
                <c:pt idx="16">
                  <c:v>18.990384615384613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CO_Data2!$S$24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CO_Data2!$S$25:$S$41</c:f>
              <c:numCache>
                <c:ptCount val="17"/>
                <c:pt idx="0">
                  <c:v>1.0526315789473684</c:v>
                </c:pt>
                <c:pt idx="1">
                  <c:v>1.2509773260359656</c:v>
                </c:pt>
                <c:pt idx="2">
                  <c:v>1.2650948821161587</c:v>
                </c:pt>
                <c:pt idx="3">
                  <c:v>0.9160305343511451</c:v>
                </c:pt>
                <c:pt idx="4">
                  <c:v>1.1086474501108647</c:v>
                </c:pt>
                <c:pt idx="5">
                  <c:v>1.1235955056179776</c:v>
                </c:pt>
                <c:pt idx="6">
                  <c:v>1.0522360015031942</c:v>
                </c:pt>
                <c:pt idx="7">
                  <c:v>0.9649122807017544</c:v>
                </c:pt>
                <c:pt idx="8">
                  <c:v>1.658374792703151</c:v>
                </c:pt>
                <c:pt idx="9">
                  <c:v>2.141327623126338</c:v>
                </c:pt>
                <c:pt idx="10">
                  <c:v>2.7440083362278567</c:v>
                </c:pt>
                <c:pt idx="11">
                  <c:v>2.460924509477885</c:v>
                </c:pt>
                <c:pt idx="12">
                  <c:v>2.3563218390804597</c:v>
                </c:pt>
                <c:pt idx="13">
                  <c:v>1.9470404984423675</c:v>
                </c:pt>
                <c:pt idx="14">
                  <c:v>1.9111570247933882</c:v>
                </c:pt>
                <c:pt idx="15">
                  <c:v>1.6585365853658538</c:v>
                </c:pt>
                <c:pt idx="16">
                  <c:v>2.1634615384615383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CO_Data2!$T$24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CO_Data2!$T$25:$T$41</c:f>
              <c:numCache>
                <c:ptCount val="17"/>
                <c:pt idx="0">
                  <c:v>0.24767801857585142</c:v>
                </c:pt>
                <c:pt idx="1">
                  <c:v>0.3909304143862392</c:v>
                </c:pt>
                <c:pt idx="2">
                  <c:v>0.46003450258769407</c:v>
                </c:pt>
                <c:pt idx="3">
                  <c:v>0.15267175572519084</c:v>
                </c:pt>
                <c:pt idx="4">
                  <c:v>0.13303769401330376</c:v>
                </c:pt>
                <c:pt idx="5">
                  <c:v>0.19540791402051783</c:v>
                </c:pt>
                <c:pt idx="6">
                  <c:v>0.4885381435550545</c:v>
                </c:pt>
                <c:pt idx="7">
                  <c:v>0.21929824561403508</c:v>
                </c:pt>
                <c:pt idx="8">
                  <c:v>0.5804311774461027</c:v>
                </c:pt>
                <c:pt idx="9">
                  <c:v>0.35688793718772305</c:v>
                </c:pt>
                <c:pt idx="10">
                  <c:v>0.45154567558179926</c:v>
                </c:pt>
                <c:pt idx="11">
                  <c:v>0.6318589956767542</c:v>
                </c:pt>
                <c:pt idx="12">
                  <c:v>0.5747126436781609</c:v>
                </c:pt>
                <c:pt idx="13">
                  <c:v>0.4932502596053998</c:v>
                </c:pt>
                <c:pt idx="14">
                  <c:v>0.5681818181818182</c:v>
                </c:pt>
                <c:pt idx="15">
                  <c:v>0.5853658536585366</c:v>
                </c:pt>
                <c:pt idx="16">
                  <c:v>0.8547008547008548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CO_Data2!$U$24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CO_Data2!$U$25:$U$41</c:f>
              <c:numCache>
                <c:ptCount val="17"/>
                <c:pt idx="0">
                  <c:v>24.148606811145513</c:v>
                </c:pt>
                <c:pt idx="1">
                  <c:v>22.126661454261143</c:v>
                </c:pt>
                <c:pt idx="2">
                  <c:v>23.17423806785509</c:v>
                </c:pt>
                <c:pt idx="3">
                  <c:v>22.951653944020357</c:v>
                </c:pt>
                <c:pt idx="4">
                  <c:v>23.85809312638581</c:v>
                </c:pt>
                <c:pt idx="5">
                  <c:v>24.96336101612115</c:v>
                </c:pt>
                <c:pt idx="6">
                  <c:v>23.299511461856444</c:v>
                </c:pt>
                <c:pt idx="7">
                  <c:v>25.877192982456144</c:v>
                </c:pt>
                <c:pt idx="8">
                  <c:v>26.57545605306799</c:v>
                </c:pt>
                <c:pt idx="9">
                  <c:v>26.017130620985014</c:v>
                </c:pt>
                <c:pt idx="10">
                  <c:v>25.460229246266064</c:v>
                </c:pt>
                <c:pt idx="11">
                  <c:v>28.999002327901565</c:v>
                </c:pt>
                <c:pt idx="12">
                  <c:v>30.919540229885058</c:v>
                </c:pt>
                <c:pt idx="13">
                  <c:v>31.61993769470405</c:v>
                </c:pt>
                <c:pt idx="14">
                  <c:v>30.707644628099175</c:v>
                </c:pt>
                <c:pt idx="15">
                  <c:v>30.146341463414632</c:v>
                </c:pt>
                <c:pt idx="16">
                  <c:v>30.448717948717945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CO_Data2!$V$24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CO_Data2!$V$25:$V$41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2160558"/>
        <c:axId val="19445023"/>
      </c:scatterChart>
      <c:valAx>
        <c:axId val="2160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9445023"/>
        <c:crosses val="autoZero"/>
        <c:crossBetween val="midCat"/>
        <c:dispUnits/>
        <c:majorUnit val="1"/>
      </c:valAx>
      <c:valAx>
        <c:axId val="19445023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NEW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160558"/>
        <c:crosses val="autoZero"/>
        <c:crossBetween val="midCat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COLORADO</a:t>
            </a:r>
          </a:p>
        </c:rich>
      </c:tx>
      <c:layout>
        <c:manualLayout>
          <c:xMode val="factor"/>
          <c:yMode val="factor"/>
          <c:x val="0.0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CO_Data2!$D$25:$D$41</c:f>
              <c:numCache>
                <c:ptCount val="17"/>
                <c:pt idx="0">
                  <c:v>17</c:v>
                </c:pt>
                <c:pt idx="1">
                  <c:v>16</c:v>
                </c:pt>
                <c:pt idx="2">
                  <c:v>22</c:v>
                </c:pt>
                <c:pt idx="3">
                  <c:v>18</c:v>
                </c:pt>
                <c:pt idx="4">
                  <c:v>25</c:v>
                </c:pt>
                <c:pt idx="5">
                  <c:v>23</c:v>
                </c:pt>
                <c:pt idx="6">
                  <c:v>28</c:v>
                </c:pt>
                <c:pt idx="7">
                  <c:v>22</c:v>
                </c:pt>
                <c:pt idx="8">
                  <c:v>40</c:v>
                </c:pt>
                <c:pt idx="9">
                  <c:v>60</c:v>
                </c:pt>
                <c:pt idx="10">
                  <c:v>79</c:v>
                </c:pt>
                <c:pt idx="11">
                  <c:v>74</c:v>
                </c:pt>
                <c:pt idx="12">
                  <c:v>82</c:v>
                </c:pt>
                <c:pt idx="13">
                  <c:v>75</c:v>
                </c:pt>
                <c:pt idx="14">
                  <c:v>74</c:v>
                </c:pt>
                <c:pt idx="15">
                  <c:v>68</c:v>
                </c:pt>
                <c:pt idx="16">
                  <c:v>81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CO_Data2!$E$25:$E$41</c:f>
              <c:numCache>
                <c:ptCount val="17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13</c:v>
                </c:pt>
                <c:pt idx="7">
                  <c:v>5</c:v>
                </c:pt>
                <c:pt idx="8">
                  <c:v>14</c:v>
                </c:pt>
                <c:pt idx="9">
                  <c:v>10</c:v>
                </c:pt>
                <c:pt idx="10">
                  <c:v>13</c:v>
                </c:pt>
                <c:pt idx="11">
                  <c:v>19</c:v>
                </c:pt>
                <c:pt idx="12">
                  <c:v>20</c:v>
                </c:pt>
                <c:pt idx="13">
                  <c:v>19</c:v>
                </c:pt>
                <c:pt idx="14">
                  <c:v>22</c:v>
                </c:pt>
                <c:pt idx="15">
                  <c:v>24</c:v>
                </c:pt>
                <c:pt idx="16">
                  <c:v>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CO_Data2!$F$24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CO_Data2!$F$25:$F$41</c:f>
              <c:numCache>
                <c:ptCount val="17"/>
                <c:pt idx="0">
                  <c:v>390</c:v>
                </c:pt>
                <c:pt idx="1">
                  <c:v>283</c:v>
                </c:pt>
                <c:pt idx="2">
                  <c:v>403</c:v>
                </c:pt>
                <c:pt idx="3">
                  <c:v>451</c:v>
                </c:pt>
                <c:pt idx="4">
                  <c:v>538</c:v>
                </c:pt>
                <c:pt idx="5">
                  <c:v>511</c:v>
                </c:pt>
                <c:pt idx="6">
                  <c:v>620</c:v>
                </c:pt>
                <c:pt idx="7">
                  <c:v>590</c:v>
                </c:pt>
                <c:pt idx="8">
                  <c:v>641</c:v>
                </c:pt>
                <c:pt idx="9">
                  <c:v>729</c:v>
                </c:pt>
                <c:pt idx="10">
                  <c:v>733</c:v>
                </c:pt>
                <c:pt idx="11">
                  <c:v>872</c:v>
                </c:pt>
                <c:pt idx="12">
                  <c:v>1076</c:v>
                </c:pt>
                <c:pt idx="13">
                  <c:v>1218</c:v>
                </c:pt>
                <c:pt idx="14">
                  <c:v>1189</c:v>
                </c:pt>
                <c:pt idx="15">
                  <c:v>1236</c:v>
                </c:pt>
                <c:pt idx="16">
                  <c:v>1140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CO_Data2!$G$24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CO_Data2!$G$25:$G$41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40787480"/>
        <c:axId val="31543001"/>
      </c:scatterChart>
      <c:valAx>
        <c:axId val="40787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1543001"/>
        <c:crosses val="autoZero"/>
        <c:crossBetween val="midCat"/>
        <c:dispUnits/>
        <c:majorUnit val="1"/>
      </c:valAx>
      <c:valAx>
        <c:axId val="31543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07874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5"/>
          <c:y val="0.94225"/>
          <c:w val="0.645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CO_Data2!$AM$25:$AM$41</c:f>
              <c:numCache>
                <c:ptCount val="17"/>
                <c:pt idx="0">
                  <c:v>96.49770108418005</c:v>
                </c:pt>
                <c:pt idx="1">
                  <c:v>87.4460294037274</c:v>
                </c:pt>
                <c:pt idx="2">
                  <c:v>115.69204880100968</c:v>
                </c:pt>
                <c:pt idx="3">
                  <c:v>91.40303661199411</c:v>
                </c:pt>
                <c:pt idx="4">
                  <c:v>122.78375325376946</c:v>
                </c:pt>
                <c:pt idx="5">
                  <c:v>110.00573942988329</c:v>
                </c:pt>
                <c:pt idx="6">
                  <c:v>129.9545159194282</c:v>
                </c:pt>
                <c:pt idx="7">
                  <c:v>99.08570913840472</c:v>
                </c:pt>
                <c:pt idx="8">
                  <c:v>177.60412041559366</c:v>
                </c:pt>
                <c:pt idx="9">
                  <c:v>259.1344908007256</c:v>
                </c:pt>
                <c:pt idx="10">
                  <c:v>332.1560713084426</c:v>
                </c:pt>
                <c:pt idx="11">
                  <c:v>305.70932826571925</c:v>
                </c:pt>
                <c:pt idx="12">
                  <c:v>332.19899530059956</c:v>
                </c:pt>
                <c:pt idx="13">
                  <c:v>298.60254011227454</c:v>
                </c:pt>
                <c:pt idx="14">
                  <c:v>291.45332808192205</c:v>
                </c:pt>
                <c:pt idx="15">
                  <c:v>262.9747080207286</c:v>
                </c:pt>
                <c:pt idx="16">
                  <c:v>307.51708428246013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CO_Data2!$AN$25:$AN$41</c:f>
              <c:numCache>
                <c:ptCount val="17"/>
                <c:pt idx="0">
                  <c:v>9.554976948618112</c:v>
                </c:pt>
                <c:pt idx="1">
                  <c:v>11.284389176013903</c:v>
                </c:pt>
                <c:pt idx="2">
                  <c:v>17.073587160662456</c:v>
                </c:pt>
                <c:pt idx="3">
                  <c:v>6.093845216331505</c:v>
                </c:pt>
                <c:pt idx="4">
                  <c:v>5.850119927458513</c:v>
                </c:pt>
                <c:pt idx="5">
                  <c:v>7.54503442421956</c:v>
                </c:pt>
                <c:pt idx="6">
                  <c:v>23.585333551044105</c:v>
                </c:pt>
                <c:pt idx="7">
                  <c:v>8.667464073361415</c:v>
                </c:pt>
                <c:pt idx="8">
                  <c:v>23.40354396522902</c:v>
                </c:pt>
                <c:pt idx="9">
                  <c:v>15.659009411064657</c:v>
                </c:pt>
                <c:pt idx="10">
                  <c:v>19.13199605586543</c:v>
                </c:pt>
                <c:pt idx="11">
                  <c:v>26.499302649930264</c:v>
                </c:pt>
                <c:pt idx="12">
                  <c:v>26.364702935709673</c:v>
                </c:pt>
                <c:pt idx="13">
                  <c:v>23.985356308779902</c:v>
                </c:pt>
                <c:pt idx="14">
                  <c:v>26.49134214772536</c:v>
                </c:pt>
                <c:pt idx="15">
                  <c:v>27.48385323622372</c:v>
                </c:pt>
                <c:pt idx="16">
                  <c:v>35.04890417410543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CO_Data2!$AO$24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CO_Data2!$AO$25:$AO$41</c:f>
              <c:numCache>
                <c:ptCount val="17"/>
                <c:pt idx="0">
                  <c:v>103.07834218309355</c:v>
                </c:pt>
                <c:pt idx="1">
                  <c:v>73.37575125879602</c:v>
                </c:pt>
                <c:pt idx="2">
                  <c:v>102.54870427294749</c:v>
                </c:pt>
                <c:pt idx="3">
                  <c:v>112.86173311578463</c:v>
                </c:pt>
                <c:pt idx="4">
                  <c:v>132.1818606193875</c:v>
                </c:pt>
                <c:pt idx="5">
                  <c:v>123.92745757121585</c:v>
                </c:pt>
                <c:pt idx="6">
                  <c:v>148.197015981375</c:v>
                </c:pt>
                <c:pt idx="7">
                  <c:v>137.70857597662223</c:v>
                </c:pt>
                <c:pt idx="8">
                  <c:v>145.49796166662128</c:v>
                </c:pt>
                <c:pt idx="9">
                  <c:v>159.6303757554524</c:v>
                </c:pt>
                <c:pt idx="10">
                  <c:v>153.83130183674155</c:v>
                </c:pt>
                <c:pt idx="11">
                  <c:v>176.41072949478152</c:v>
                </c:pt>
                <c:pt idx="12">
                  <c:v>209.42897516047788</c:v>
                </c:pt>
                <c:pt idx="13">
                  <c:v>228.24375983809307</c:v>
                </c:pt>
                <c:pt idx="14">
                  <c:v>213.69787182800647</c:v>
                </c:pt>
                <c:pt idx="15">
                  <c:v>213.73322427635915</c:v>
                </c:pt>
                <c:pt idx="16">
                  <c:v>188.87243158344683</c:v>
                </c:pt>
              </c:numCache>
            </c:numRef>
          </c:yVal>
          <c:smooth val="0"/>
        </c:ser>
        <c:axId val="15451554"/>
        <c:axId val="4846259"/>
      </c:scatterChart>
      <c:valAx>
        <c:axId val="15451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846259"/>
        <c:crosses val="autoZero"/>
        <c:crossBetween val="midCat"/>
        <c:dispUnits/>
        <c:majorUnit val="1"/>
      </c:valAx>
      <c:valAx>
        <c:axId val="4846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4515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CO_Data1!$E$5:$E$21</c:f>
              <c:numCache>
                <c:ptCount val="17"/>
                <c:pt idx="0">
                  <c:v>286</c:v>
                </c:pt>
                <c:pt idx="1">
                  <c:v>229</c:v>
                </c:pt>
                <c:pt idx="2">
                  <c:v>253</c:v>
                </c:pt>
                <c:pt idx="3">
                  <c:v>250</c:v>
                </c:pt>
                <c:pt idx="4">
                  <c:v>290</c:v>
                </c:pt>
                <c:pt idx="5">
                  <c:v>235</c:v>
                </c:pt>
                <c:pt idx="6">
                  <c:v>288</c:v>
                </c:pt>
                <c:pt idx="7">
                  <c:v>216</c:v>
                </c:pt>
                <c:pt idx="8">
                  <c:v>188</c:v>
                </c:pt>
                <c:pt idx="9">
                  <c:v>226</c:v>
                </c:pt>
                <c:pt idx="10">
                  <c:v>198</c:v>
                </c:pt>
                <c:pt idx="11">
                  <c:v>172</c:v>
                </c:pt>
                <c:pt idx="12">
                  <c:v>194</c:v>
                </c:pt>
                <c:pt idx="13">
                  <c:v>255</c:v>
                </c:pt>
                <c:pt idx="14">
                  <c:v>232</c:v>
                </c:pt>
                <c:pt idx="15">
                  <c:v>289</c:v>
                </c:pt>
                <c:pt idx="16">
                  <c:v>249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CO_Data1!$F$5:$F$21</c:f>
              <c:numCache>
                <c:ptCount val="17"/>
                <c:pt idx="0">
                  <c:v>77</c:v>
                </c:pt>
                <c:pt idx="1">
                  <c:v>75</c:v>
                </c:pt>
                <c:pt idx="2">
                  <c:v>77</c:v>
                </c:pt>
                <c:pt idx="3">
                  <c:v>116</c:v>
                </c:pt>
                <c:pt idx="4">
                  <c:v>144</c:v>
                </c:pt>
                <c:pt idx="5">
                  <c:v>112</c:v>
                </c:pt>
                <c:pt idx="6">
                  <c:v>153</c:v>
                </c:pt>
                <c:pt idx="7">
                  <c:v>96</c:v>
                </c:pt>
                <c:pt idx="8">
                  <c:v>101</c:v>
                </c:pt>
                <c:pt idx="9">
                  <c:v>80</c:v>
                </c:pt>
                <c:pt idx="10">
                  <c:v>85</c:v>
                </c:pt>
                <c:pt idx="11">
                  <c:v>106</c:v>
                </c:pt>
                <c:pt idx="12">
                  <c:v>112</c:v>
                </c:pt>
                <c:pt idx="13">
                  <c:v>114</c:v>
                </c:pt>
                <c:pt idx="14">
                  <c:v>111</c:v>
                </c:pt>
                <c:pt idx="15">
                  <c:v>98</c:v>
                </c:pt>
                <c:pt idx="16">
                  <c:v>87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CO_Data1!$G$5:$G$21</c:f>
              <c:numCache>
                <c:ptCount val="17"/>
                <c:pt idx="0">
                  <c:v>363</c:v>
                </c:pt>
                <c:pt idx="1">
                  <c:v>304</c:v>
                </c:pt>
                <c:pt idx="2">
                  <c:v>330</c:v>
                </c:pt>
                <c:pt idx="3">
                  <c:v>366</c:v>
                </c:pt>
                <c:pt idx="4">
                  <c:v>434</c:v>
                </c:pt>
                <c:pt idx="5">
                  <c:v>347</c:v>
                </c:pt>
                <c:pt idx="6">
                  <c:v>441</c:v>
                </c:pt>
                <c:pt idx="7">
                  <c:v>312</c:v>
                </c:pt>
                <c:pt idx="8">
                  <c:v>289</c:v>
                </c:pt>
                <c:pt idx="9">
                  <c:v>306</c:v>
                </c:pt>
                <c:pt idx="10">
                  <c:v>283</c:v>
                </c:pt>
                <c:pt idx="11">
                  <c:v>278</c:v>
                </c:pt>
                <c:pt idx="12">
                  <c:v>306</c:v>
                </c:pt>
                <c:pt idx="13">
                  <c:v>369</c:v>
                </c:pt>
                <c:pt idx="14">
                  <c:v>343</c:v>
                </c:pt>
                <c:pt idx="15">
                  <c:v>387</c:v>
                </c:pt>
                <c:pt idx="16">
                  <c:v>336</c:v>
                </c:pt>
              </c:numCache>
            </c:numRef>
          </c:yVal>
          <c:smooth val="1"/>
        </c:ser>
        <c:axId val="25337654"/>
        <c:axId val="26712295"/>
      </c:scatterChart>
      <c:scatterChart>
        <c:scatterStyle val="lineMarker"/>
        <c:varyColors val="0"/>
        <c:ser>
          <c:idx val="5"/>
          <c:order val="3"/>
          <c:tx>
            <c:strRef>
              <c:f>CO_Data1!$A$23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CO_Data1!$F$28:$F$44</c:f>
              <c:numCache>
                <c:ptCount val="17"/>
                <c:pt idx="0">
                  <c:v>21.21212121212121</c:v>
                </c:pt>
                <c:pt idx="1">
                  <c:v>24.671052631578945</c:v>
                </c:pt>
                <c:pt idx="2">
                  <c:v>23.333333333333332</c:v>
                </c:pt>
                <c:pt idx="3">
                  <c:v>31.693989071038253</c:v>
                </c:pt>
                <c:pt idx="4">
                  <c:v>33.17972350230415</c:v>
                </c:pt>
                <c:pt idx="5">
                  <c:v>32.27665706051873</c:v>
                </c:pt>
                <c:pt idx="6">
                  <c:v>34.69387755102041</c:v>
                </c:pt>
                <c:pt idx="7">
                  <c:v>30.76923076923077</c:v>
                </c:pt>
                <c:pt idx="8">
                  <c:v>34.94809688581315</c:v>
                </c:pt>
                <c:pt idx="9">
                  <c:v>26.143790849673206</c:v>
                </c:pt>
                <c:pt idx="10">
                  <c:v>30.03533568904594</c:v>
                </c:pt>
                <c:pt idx="11">
                  <c:v>38.1294964028777</c:v>
                </c:pt>
                <c:pt idx="12">
                  <c:v>36.60130718954248</c:v>
                </c:pt>
                <c:pt idx="13">
                  <c:v>30.89430894308943</c:v>
                </c:pt>
                <c:pt idx="14">
                  <c:v>32.36151603498542</c:v>
                </c:pt>
                <c:pt idx="15">
                  <c:v>25.32299741602067</c:v>
                </c:pt>
                <c:pt idx="16">
                  <c:v>25.892857142857146</c:v>
                </c:pt>
              </c:numCache>
            </c:numRef>
          </c:yVal>
          <c:smooth val="0"/>
        </c:ser>
        <c:axId val="39084064"/>
        <c:axId val="16212257"/>
      </c:scatterChart>
      <c:valAx>
        <c:axId val="25337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6712295"/>
        <c:crossesAt val="0"/>
        <c:crossBetween val="midCat"/>
        <c:dispUnits/>
        <c:majorUnit val="1"/>
      </c:valAx>
      <c:valAx>
        <c:axId val="26712295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5337654"/>
        <c:crosses val="autoZero"/>
        <c:crossBetween val="midCat"/>
        <c:dispUnits/>
        <c:majorUnit val="100"/>
      </c:valAx>
      <c:valAx>
        <c:axId val="39084064"/>
        <c:scaling>
          <c:orientation val="minMax"/>
        </c:scaling>
        <c:axPos val="b"/>
        <c:delete val="1"/>
        <c:majorTickMark val="in"/>
        <c:minorTickMark val="none"/>
        <c:tickLblPos val="nextTo"/>
        <c:crossAx val="16212257"/>
        <c:crosses val="max"/>
        <c:crossBetween val="midCat"/>
        <c:dispUnits/>
      </c:valAx>
      <c:valAx>
        <c:axId val="16212257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908406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3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ROBBERY, PER 100,000: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397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CO_Data3!$L$23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CO_Data3!$L$24:$L$40</c:f>
              <c:numCache>
                <c:ptCount val="17"/>
                <c:pt idx="0">
                  <c:v>11.078010497770647</c:v>
                </c:pt>
                <c:pt idx="1">
                  <c:v>8.790972554123023</c:v>
                </c:pt>
                <c:pt idx="2">
                  <c:v>9.621465680079801</c:v>
                </c:pt>
                <c:pt idx="3">
                  <c:v>9.448116612434477</c:v>
                </c:pt>
                <c:pt idx="4">
                  <c:v>10.915715619259839</c:v>
                </c:pt>
                <c:pt idx="5">
                  <c:v>8.867158271983289</c:v>
                </c:pt>
                <c:pt idx="6">
                  <c:v>10.853131505284118</c:v>
                </c:pt>
                <c:pt idx="7">
                  <c:v>8.10068248249915</c:v>
                </c:pt>
                <c:pt idx="8">
                  <c:v>6.932843609061375</c:v>
                </c:pt>
                <c:pt idx="9">
                  <c:v>8.13151758224796</c:v>
                </c:pt>
                <c:pt idx="10">
                  <c:v>6.943450852992417</c:v>
                </c:pt>
                <c:pt idx="11">
                  <c:v>5.89132693918849</c:v>
                </c:pt>
                <c:pt idx="12">
                  <c:v>6.515113047286287</c:v>
                </c:pt>
                <c:pt idx="13">
                  <c:v>8.425543472334976</c:v>
                </c:pt>
                <c:pt idx="14">
                  <c:v>7.543346605721628</c:v>
                </c:pt>
                <c:pt idx="15">
                  <c:v>9.254281065644875</c:v>
                </c:pt>
                <c:pt idx="16">
                  <c:v>7.836763674680517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CO_Data3!$M$24:$M$40</c:f>
              <c:numCache>
                <c:ptCount val="17"/>
                <c:pt idx="0">
                  <c:v>67.48170544673765</c:v>
                </c:pt>
                <c:pt idx="1">
                  <c:v>64.23762783287938</c:v>
                </c:pt>
                <c:pt idx="2">
                  <c:v>63.990692262943575</c:v>
                </c:pt>
                <c:pt idx="3">
                  <c:v>94.3910556337627</c:v>
                </c:pt>
                <c:pt idx="4">
                  <c:v>115.10515335363661</c:v>
                </c:pt>
                <c:pt idx="5">
                  <c:v>89.03728436282692</c:v>
                </c:pt>
                <c:pt idx="6">
                  <c:v>120.29909657737277</c:v>
                </c:pt>
                <c:pt idx="7">
                  <c:v>74.36729698115253</c:v>
                </c:pt>
                <c:pt idx="8">
                  <c:v>75.97469516093848</c:v>
                </c:pt>
                <c:pt idx="9">
                  <c:v>58.39799694870466</c:v>
                </c:pt>
                <c:pt idx="10">
                  <c:v>60.26360007657022</c:v>
                </c:pt>
                <c:pt idx="11">
                  <c:v>73.53094195911402</c:v>
                </c:pt>
                <c:pt idx="12">
                  <c:v>76.68711656441718</c:v>
                </c:pt>
                <c:pt idx="13">
                  <c:v>76.9059521159256</c:v>
                </c:pt>
                <c:pt idx="14">
                  <c:v>73.5557234304799</c:v>
                </c:pt>
                <c:pt idx="15">
                  <c:v>63.38324224687126</c:v>
                </c:pt>
                <c:pt idx="16">
                  <c:v>55.21075277005673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CO_Data3!$N$24:$N$40</c:f>
              <c:numCache>
                <c:ptCount val="17"/>
                <c:pt idx="0">
                  <c:v>13.46541058744801</c:v>
                </c:pt>
                <c:pt idx="1">
                  <c:v>11.169493761066157</c:v>
                </c:pt>
                <c:pt idx="2">
                  <c:v>12.000580391706217</c:v>
                </c:pt>
                <c:pt idx="3">
                  <c:v>13.218135715583278</c:v>
                </c:pt>
                <c:pt idx="4">
                  <c:v>15.601280167717356</c:v>
                </c:pt>
                <c:pt idx="5">
                  <c:v>12.499914445830521</c:v>
                </c:pt>
                <c:pt idx="6">
                  <c:v>15.858774199464541</c:v>
                </c:pt>
                <c:pt idx="7">
                  <c:v>11.160670369958337</c:v>
                </c:pt>
                <c:pt idx="8">
                  <c:v>10.159354216606571</c:v>
                </c:pt>
                <c:pt idx="9">
                  <c:v>10.492747659705792</c:v>
                </c:pt>
                <c:pt idx="10">
                  <c:v>9.45648596313307</c:v>
                </c:pt>
                <c:pt idx="11">
                  <c:v>9.073986610320908</c:v>
                </c:pt>
                <c:pt idx="12">
                  <c:v>9.795949726929898</c:v>
                </c:pt>
                <c:pt idx="13">
                  <c:v>11.62298440441182</c:v>
                </c:pt>
                <c:pt idx="14">
                  <c:v>10.630833010999039</c:v>
                </c:pt>
                <c:pt idx="15">
                  <c:v>11.807801936479517</c:v>
                </c:pt>
                <c:pt idx="16">
                  <c:v>10.07523441412212</c:v>
                </c:pt>
              </c:numCache>
            </c:numRef>
          </c:yVal>
          <c:smooth val="1"/>
        </c:ser>
        <c:axId val="11692586"/>
        <c:axId val="38124411"/>
      </c:scatterChart>
      <c:valAx>
        <c:axId val="11692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8124411"/>
        <c:crossesAt val="0"/>
        <c:crossBetween val="midCat"/>
        <c:dispUnits/>
        <c:majorUnit val="1"/>
      </c:valAx>
      <c:valAx>
        <c:axId val="38124411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692586"/>
        <c:crosses val="autoZero"/>
        <c:crossBetween val="midCat"/>
        <c:dispUnits/>
        <c:majorUnit val="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/THEFT: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3"/>
          <c:w val="0.92175"/>
          <c:h val="0.8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CO_Data1!$H$5:$H$21</c:f>
              <c:numCache>
                <c:ptCount val="17"/>
                <c:pt idx="0">
                  <c:v>155</c:v>
                </c:pt>
                <c:pt idx="1">
                  <c:v>173</c:v>
                </c:pt>
                <c:pt idx="2">
                  <c:v>223</c:v>
                </c:pt>
                <c:pt idx="3">
                  <c:v>230</c:v>
                </c:pt>
                <c:pt idx="4">
                  <c:v>249</c:v>
                </c:pt>
                <c:pt idx="5">
                  <c:v>207</c:v>
                </c:pt>
                <c:pt idx="6">
                  <c:v>254</c:v>
                </c:pt>
                <c:pt idx="7">
                  <c:v>208</c:v>
                </c:pt>
                <c:pt idx="8">
                  <c:v>246</c:v>
                </c:pt>
                <c:pt idx="9">
                  <c:v>312</c:v>
                </c:pt>
                <c:pt idx="10">
                  <c:v>276</c:v>
                </c:pt>
                <c:pt idx="11">
                  <c:v>255</c:v>
                </c:pt>
                <c:pt idx="12">
                  <c:v>274</c:v>
                </c:pt>
                <c:pt idx="13">
                  <c:v>305</c:v>
                </c:pt>
                <c:pt idx="14">
                  <c:v>384</c:v>
                </c:pt>
                <c:pt idx="15">
                  <c:v>400</c:v>
                </c:pt>
                <c:pt idx="16">
                  <c:v>359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CO_Data1!$I$5:$I$21</c:f>
              <c:numCache>
                <c:ptCount val="17"/>
                <c:pt idx="0">
                  <c:v>52</c:v>
                </c:pt>
                <c:pt idx="1">
                  <c:v>41</c:v>
                </c:pt>
                <c:pt idx="2">
                  <c:v>59</c:v>
                </c:pt>
                <c:pt idx="3">
                  <c:v>81</c:v>
                </c:pt>
                <c:pt idx="4">
                  <c:v>78</c:v>
                </c:pt>
                <c:pt idx="5">
                  <c:v>76</c:v>
                </c:pt>
                <c:pt idx="6">
                  <c:v>89</c:v>
                </c:pt>
                <c:pt idx="7">
                  <c:v>76</c:v>
                </c:pt>
                <c:pt idx="8">
                  <c:v>89</c:v>
                </c:pt>
                <c:pt idx="9">
                  <c:v>87</c:v>
                </c:pt>
                <c:pt idx="10">
                  <c:v>83</c:v>
                </c:pt>
                <c:pt idx="11">
                  <c:v>75</c:v>
                </c:pt>
                <c:pt idx="12">
                  <c:v>95</c:v>
                </c:pt>
                <c:pt idx="13">
                  <c:v>102</c:v>
                </c:pt>
                <c:pt idx="14">
                  <c:v>123</c:v>
                </c:pt>
                <c:pt idx="15">
                  <c:v>105</c:v>
                </c:pt>
                <c:pt idx="16">
                  <c:v>82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CO_Data1!$J$5:$J$21</c:f>
              <c:numCache>
                <c:ptCount val="17"/>
                <c:pt idx="0">
                  <c:v>207</c:v>
                </c:pt>
                <c:pt idx="1">
                  <c:v>214</c:v>
                </c:pt>
                <c:pt idx="2">
                  <c:v>282</c:v>
                </c:pt>
                <c:pt idx="3">
                  <c:v>311</c:v>
                </c:pt>
                <c:pt idx="4">
                  <c:v>327</c:v>
                </c:pt>
                <c:pt idx="5">
                  <c:v>283</c:v>
                </c:pt>
                <c:pt idx="6">
                  <c:v>343</c:v>
                </c:pt>
                <c:pt idx="7">
                  <c:v>284</c:v>
                </c:pt>
                <c:pt idx="8">
                  <c:v>335</c:v>
                </c:pt>
                <c:pt idx="9">
                  <c:v>399</c:v>
                </c:pt>
                <c:pt idx="10">
                  <c:v>359</c:v>
                </c:pt>
                <c:pt idx="11">
                  <c:v>330</c:v>
                </c:pt>
                <c:pt idx="12">
                  <c:v>369</c:v>
                </c:pt>
                <c:pt idx="13">
                  <c:v>407</c:v>
                </c:pt>
                <c:pt idx="14">
                  <c:v>507</c:v>
                </c:pt>
                <c:pt idx="15">
                  <c:v>505</c:v>
                </c:pt>
                <c:pt idx="16">
                  <c:v>441</c:v>
                </c:pt>
              </c:numCache>
            </c:numRef>
          </c:yVal>
          <c:smooth val="1"/>
        </c:ser>
        <c:axId val="7575380"/>
        <c:axId val="1069557"/>
      </c:scatterChart>
      <c:scatterChart>
        <c:scatterStyle val="lineMarker"/>
        <c:varyColors val="0"/>
        <c:ser>
          <c:idx val="5"/>
          <c:order val="3"/>
          <c:tx>
            <c:strRef>
              <c:f>CO_Data1!$A$23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CO_Data1!$I$28:$I$44</c:f>
              <c:numCache>
                <c:ptCount val="17"/>
                <c:pt idx="0">
                  <c:v>25.120772946859905</c:v>
                </c:pt>
                <c:pt idx="1">
                  <c:v>19.158878504672895</c:v>
                </c:pt>
                <c:pt idx="2">
                  <c:v>20.921985815602838</c:v>
                </c:pt>
                <c:pt idx="3">
                  <c:v>26.04501607717042</c:v>
                </c:pt>
                <c:pt idx="4">
                  <c:v>23.853211009174313</c:v>
                </c:pt>
                <c:pt idx="5">
                  <c:v>26.855123674911663</c:v>
                </c:pt>
                <c:pt idx="6">
                  <c:v>25.94752186588921</c:v>
                </c:pt>
                <c:pt idx="7">
                  <c:v>26.76056338028169</c:v>
                </c:pt>
                <c:pt idx="8">
                  <c:v>26.56716417910448</c:v>
                </c:pt>
                <c:pt idx="9">
                  <c:v>21.804511278195488</c:v>
                </c:pt>
                <c:pt idx="10">
                  <c:v>23.119777158774372</c:v>
                </c:pt>
                <c:pt idx="11">
                  <c:v>22.727272727272727</c:v>
                </c:pt>
                <c:pt idx="12">
                  <c:v>25.745257452574528</c:v>
                </c:pt>
                <c:pt idx="13">
                  <c:v>25.061425061425062</c:v>
                </c:pt>
                <c:pt idx="14">
                  <c:v>24.2603550295858</c:v>
                </c:pt>
                <c:pt idx="15">
                  <c:v>20.792079207920793</c:v>
                </c:pt>
                <c:pt idx="16">
                  <c:v>18.594104308390023</c:v>
                </c:pt>
              </c:numCache>
            </c:numRef>
          </c:yVal>
          <c:smooth val="0"/>
        </c:ser>
        <c:axId val="9626014"/>
        <c:axId val="19525263"/>
      </c:scatterChart>
      <c:valAx>
        <c:axId val="757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069557"/>
        <c:crossesAt val="0"/>
        <c:crossBetween val="midCat"/>
        <c:dispUnits/>
        <c:majorUnit val="1"/>
      </c:valAx>
      <c:valAx>
        <c:axId val="1069557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7575380"/>
        <c:crosses val="autoZero"/>
        <c:crossBetween val="midCat"/>
        <c:dispUnits/>
        <c:majorUnit val="50"/>
      </c:valAx>
      <c:valAx>
        <c:axId val="9626014"/>
        <c:scaling>
          <c:orientation val="minMax"/>
        </c:scaling>
        <c:axPos val="b"/>
        <c:delete val="1"/>
        <c:majorTickMark val="in"/>
        <c:minorTickMark val="none"/>
        <c:tickLblPos val="nextTo"/>
        <c:crossAx val="19525263"/>
        <c:crosses val="max"/>
        <c:crossBetween val="midCat"/>
        <c:dispUnits/>
      </c:valAx>
      <c:valAx>
        <c:axId val="19525263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9626014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4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 THEFT, PER 100,000: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6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CO_Data3!$L$43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CO_Data3!$L$44:$L$60</c:f>
              <c:numCache>
                <c:ptCount val="17"/>
                <c:pt idx="0">
                  <c:v>6.0038168781624135</c:v>
                </c:pt>
                <c:pt idx="1">
                  <c:v>6.64121507363879</c:v>
                </c:pt>
                <c:pt idx="2">
                  <c:v>8.480580421572315</c:v>
                </c:pt>
                <c:pt idx="3">
                  <c:v>8.692267283439719</c:v>
                </c:pt>
                <c:pt idx="4">
                  <c:v>9.372459273088621</c:v>
                </c:pt>
                <c:pt idx="5">
                  <c:v>7.810645797023578</c:v>
                </c:pt>
                <c:pt idx="6">
                  <c:v>9.571859035910299</c:v>
                </c:pt>
                <c:pt idx="7">
                  <c:v>7.800657205369553</c:v>
                </c:pt>
                <c:pt idx="8">
                  <c:v>9.071699616112223</c:v>
                </c:pt>
                <c:pt idx="9">
                  <c:v>11.225811883457363</c:v>
                </c:pt>
                <c:pt idx="10">
                  <c:v>9.678749673868218</c:v>
                </c:pt>
                <c:pt idx="11">
                  <c:v>8.73423470635503</c:v>
                </c:pt>
                <c:pt idx="12">
                  <c:v>9.201757602868263</c:v>
                </c:pt>
                <c:pt idx="13">
                  <c:v>10.077610819851637</c:v>
                </c:pt>
                <c:pt idx="14">
                  <c:v>12.48553920947028</c:v>
                </c:pt>
                <c:pt idx="15">
                  <c:v>12.808693516463492</c:v>
                </c:pt>
                <c:pt idx="16">
                  <c:v>11.298787787993197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CO_Data3!$M$44:$M$60</c:f>
              <c:numCache>
                <c:ptCount val="17"/>
                <c:pt idx="0">
                  <c:v>45.57206082117348</c:v>
                </c:pt>
                <c:pt idx="1">
                  <c:v>35.116569881974065</c:v>
                </c:pt>
                <c:pt idx="2">
                  <c:v>49.031829136541184</c:v>
                </c:pt>
                <c:pt idx="3">
                  <c:v>65.91099574426534</c:v>
                </c:pt>
                <c:pt idx="4">
                  <c:v>62.34862473321983</c:v>
                </c:pt>
                <c:pt idx="5">
                  <c:v>60.41815724620399</c:v>
                </c:pt>
                <c:pt idx="6">
                  <c:v>69.97790585219722</c:v>
                </c:pt>
                <c:pt idx="7">
                  <c:v>58.8741101100791</c:v>
                </c:pt>
                <c:pt idx="8">
                  <c:v>66.94799870617351</c:v>
                </c:pt>
                <c:pt idx="9">
                  <c:v>63.507821681716315</c:v>
                </c:pt>
                <c:pt idx="10">
                  <c:v>58.84563301594503</c:v>
                </c:pt>
                <c:pt idx="11">
                  <c:v>52.02660987673162</c:v>
                </c:pt>
                <c:pt idx="12">
                  <c:v>65.04710780017528</c:v>
                </c:pt>
                <c:pt idx="13">
                  <c:v>68.81058873530186</c:v>
                </c:pt>
                <c:pt idx="14">
                  <c:v>81.50769353107232</c:v>
                </c:pt>
                <c:pt idx="15">
                  <c:v>67.91061669307635</c:v>
                </c:pt>
                <c:pt idx="16">
                  <c:v>52.037721001662675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CO_Data3!$N$43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CO_Data3!$N$44:$N$60</c:f>
              <c:numCache>
                <c:ptCount val="17"/>
                <c:pt idx="0">
                  <c:v>7.6786225663959735</c:v>
                </c:pt>
                <c:pt idx="1">
                  <c:v>7.862735739697888</c:v>
                </c:pt>
                <c:pt idx="2">
                  <c:v>10.255041425639858</c:v>
                </c:pt>
                <c:pt idx="3">
                  <c:v>11.231803845755191</c:v>
                </c:pt>
                <c:pt idx="4">
                  <c:v>11.754881601022063</c:v>
                </c:pt>
                <c:pt idx="5">
                  <c:v>10.194454720951116</c:v>
                </c:pt>
                <c:pt idx="6">
                  <c:v>12.33460215513909</c:v>
                </c:pt>
                <c:pt idx="7">
                  <c:v>10.159071747013359</c:v>
                </c:pt>
                <c:pt idx="8">
                  <c:v>11.776414057312115</c:v>
                </c:pt>
                <c:pt idx="9">
                  <c:v>13.681719987655592</c:v>
                </c:pt>
                <c:pt idx="10">
                  <c:v>11.996036963833118</c:v>
                </c:pt>
                <c:pt idx="11">
                  <c:v>10.771279069805397</c:v>
                </c:pt>
                <c:pt idx="12">
                  <c:v>11.8127629060037</c:v>
                </c:pt>
                <c:pt idx="13">
                  <c:v>12.819931307847185</c:v>
                </c:pt>
                <c:pt idx="14">
                  <c:v>15.713796899639979</c:v>
                </c:pt>
                <c:pt idx="15">
                  <c:v>15.40811363804175</c:v>
                </c:pt>
                <c:pt idx="16">
                  <c:v>13.223745168535283</c:v>
                </c:pt>
              </c:numCache>
            </c:numRef>
          </c:yVal>
          <c:smooth val="1"/>
        </c:ser>
        <c:axId val="41509640"/>
        <c:axId val="38042441"/>
      </c:scatterChart>
      <c:valAx>
        <c:axId val="41509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8042441"/>
        <c:crossesAt val="0"/>
        <c:crossBetween val="midCat"/>
        <c:dispUnits/>
        <c:majorUnit val="1"/>
      </c:valAx>
      <c:valAx>
        <c:axId val="3804244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1509640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15"/>
          <c:w val="0.920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CO_Data1!$K$5:$K$21</c:f>
              <c:numCache>
                <c:ptCount val="17"/>
                <c:pt idx="0">
                  <c:v>52</c:v>
                </c:pt>
                <c:pt idx="1">
                  <c:v>33</c:v>
                </c:pt>
                <c:pt idx="2">
                  <c:v>69</c:v>
                </c:pt>
                <c:pt idx="3">
                  <c:v>85</c:v>
                </c:pt>
                <c:pt idx="4">
                  <c:v>110</c:v>
                </c:pt>
                <c:pt idx="5">
                  <c:v>110</c:v>
                </c:pt>
                <c:pt idx="6">
                  <c:v>182</c:v>
                </c:pt>
                <c:pt idx="7">
                  <c:v>141</c:v>
                </c:pt>
                <c:pt idx="8">
                  <c:v>142</c:v>
                </c:pt>
                <c:pt idx="9">
                  <c:v>156</c:v>
                </c:pt>
                <c:pt idx="10">
                  <c:v>156</c:v>
                </c:pt>
                <c:pt idx="11">
                  <c:v>165</c:v>
                </c:pt>
                <c:pt idx="12">
                  <c:v>194</c:v>
                </c:pt>
                <c:pt idx="13">
                  <c:v>269</c:v>
                </c:pt>
                <c:pt idx="14">
                  <c:v>322</c:v>
                </c:pt>
                <c:pt idx="15">
                  <c:v>425</c:v>
                </c:pt>
                <c:pt idx="16">
                  <c:v>370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CO_Data1!$L$5:$L$21</c:f>
              <c:numCache>
                <c:ptCount val="17"/>
                <c:pt idx="0">
                  <c:v>13</c:v>
                </c:pt>
                <c:pt idx="1">
                  <c:v>13</c:v>
                </c:pt>
                <c:pt idx="2">
                  <c:v>16</c:v>
                </c:pt>
                <c:pt idx="3">
                  <c:v>20</c:v>
                </c:pt>
                <c:pt idx="4">
                  <c:v>36</c:v>
                </c:pt>
                <c:pt idx="5">
                  <c:v>65</c:v>
                </c:pt>
                <c:pt idx="6">
                  <c:v>136</c:v>
                </c:pt>
                <c:pt idx="7">
                  <c:v>114</c:v>
                </c:pt>
                <c:pt idx="8">
                  <c:v>97</c:v>
                </c:pt>
                <c:pt idx="9">
                  <c:v>165</c:v>
                </c:pt>
                <c:pt idx="10">
                  <c:v>185</c:v>
                </c:pt>
                <c:pt idx="11">
                  <c:v>226</c:v>
                </c:pt>
                <c:pt idx="12">
                  <c:v>271</c:v>
                </c:pt>
                <c:pt idx="13">
                  <c:v>308</c:v>
                </c:pt>
                <c:pt idx="14">
                  <c:v>411</c:v>
                </c:pt>
                <c:pt idx="15">
                  <c:v>366</c:v>
                </c:pt>
                <c:pt idx="16">
                  <c:v>325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CO_Data1!$M$5:$M$21</c:f>
              <c:numCache>
                <c:ptCount val="17"/>
                <c:pt idx="0">
                  <c:v>65</c:v>
                </c:pt>
                <c:pt idx="1">
                  <c:v>46</c:v>
                </c:pt>
                <c:pt idx="2">
                  <c:v>85</c:v>
                </c:pt>
                <c:pt idx="3">
                  <c:v>105</c:v>
                </c:pt>
                <c:pt idx="4">
                  <c:v>146</c:v>
                </c:pt>
                <c:pt idx="5">
                  <c:v>175</c:v>
                </c:pt>
                <c:pt idx="6">
                  <c:v>318</c:v>
                </c:pt>
                <c:pt idx="7">
                  <c:v>255</c:v>
                </c:pt>
                <c:pt idx="8">
                  <c:v>239</c:v>
                </c:pt>
                <c:pt idx="9">
                  <c:v>321</c:v>
                </c:pt>
                <c:pt idx="10">
                  <c:v>341</c:v>
                </c:pt>
                <c:pt idx="11">
                  <c:v>391</c:v>
                </c:pt>
                <c:pt idx="12">
                  <c:v>465</c:v>
                </c:pt>
                <c:pt idx="13">
                  <c:v>577</c:v>
                </c:pt>
                <c:pt idx="14">
                  <c:v>733</c:v>
                </c:pt>
                <c:pt idx="15">
                  <c:v>791</c:v>
                </c:pt>
                <c:pt idx="16">
                  <c:v>695</c:v>
                </c:pt>
              </c:numCache>
            </c:numRef>
          </c:yVal>
          <c:smooth val="1"/>
        </c:ser>
        <c:axId val="6837650"/>
        <c:axId val="61538851"/>
      </c:scatterChart>
      <c:scatterChart>
        <c:scatterStyle val="lineMarker"/>
        <c:varyColors val="0"/>
        <c:ser>
          <c:idx val="5"/>
          <c:order val="3"/>
          <c:tx>
            <c:strRef>
              <c:f>CO_Data1!$A$23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CO_Data1!$L$28:$L$44</c:f>
              <c:numCache>
                <c:ptCount val="17"/>
                <c:pt idx="0">
                  <c:v>20</c:v>
                </c:pt>
                <c:pt idx="1">
                  <c:v>28.26086956521739</c:v>
                </c:pt>
                <c:pt idx="2">
                  <c:v>18.823529411764707</c:v>
                </c:pt>
                <c:pt idx="3">
                  <c:v>19.047619047619047</c:v>
                </c:pt>
                <c:pt idx="4">
                  <c:v>24.65753424657534</c:v>
                </c:pt>
                <c:pt idx="5">
                  <c:v>37.142857142857146</c:v>
                </c:pt>
                <c:pt idx="6">
                  <c:v>42.76729559748428</c:v>
                </c:pt>
                <c:pt idx="7">
                  <c:v>44.70588235294118</c:v>
                </c:pt>
                <c:pt idx="8">
                  <c:v>40.58577405857741</c:v>
                </c:pt>
                <c:pt idx="9">
                  <c:v>51.4018691588785</c:v>
                </c:pt>
                <c:pt idx="10">
                  <c:v>54.252199413489734</c:v>
                </c:pt>
                <c:pt idx="11">
                  <c:v>57.8005115089514</c:v>
                </c:pt>
                <c:pt idx="12">
                  <c:v>58.27956989247311</c:v>
                </c:pt>
                <c:pt idx="13">
                  <c:v>53.379549393414216</c:v>
                </c:pt>
                <c:pt idx="14">
                  <c:v>56.070941336971345</c:v>
                </c:pt>
                <c:pt idx="15">
                  <c:v>46.27054361567636</c:v>
                </c:pt>
                <c:pt idx="16">
                  <c:v>46.76258992805755</c:v>
                </c:pt>
              </c:numCache>
            </c:numRef>
          </c:yVal>
          <c:smooth val="0"/>
        </c:ser>
        <c:axId val="16978748"/>
        <c:axId val="18591005"/>
      </c:scatterChart>
      <c:valAx>
        <c:axId val="6837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1538851"/>
        <c:crossesAt val="0"/>
        <c:crossBetween val="midCat"/>
        <c:dispUnits/>
        <c:majorUnit val="1"/>
      </c:valAx>
      <c:valAx>
        <c:axId val="61538851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837650"/>
        <c:crosses val="autoZero"/>
        <c:crossBetween val="midCat"/>
        <c:dispUnits/>
        <c:majorUnit val="100"/>
      </c:valAx>
      <c:valAx>
        <c:axId val="16978748"/>
        <c:scaling>
          <c:orientation val="minMax"/>
        </c:scaling>
        <c:axPos val="b"/>
        <c:delete val="1"/>
        <c:majorTickMark val="in"/>
        <c:minorTickMark val="none"/>
        <c:tickLblPos val="nextTo"/>
        <c:crossAx val="18591005"/>
        <c:crosses val="max"/>
        <c:crossBetween val="midCat"/>
        <c:dispUnits/>
      </c:valAx>
      <c:valAx>
        <c:axId val="18591005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697874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tabSelected="1" zoomScale="50" zoomScaleNormal="50" workbookViewId="0" topLeftCell="A81">
      <selection activeCell="G110" sqref="G110:G126"/>
    </sheetView>
  </sheetViews>
  <sheetFormatPr defaultColWidth="9.140625" defaultRowHeight="12.75"/>
  <cols>
    <col min="1" max="1" width="6.140625" style="0" customWidth="1"/>
    <col min="2" max="2" width="10.421875" style="0" customWidth="1"/>
    <col min="3" max="3" width="10.57421875" style="0" customWidth="1"/>
    <col min="4" max="4" width="11.00390625" style="0" customWidth="1"/>
    <col min="5" max="5" width="10.00390625" style="0" bestFit="1" customWidth="1"/>
    <col min="6" max="6" width="10.421875" style="0" bestFit="1" customWidth="1"/>
    <col min="7" max="8" width="10.57421875" style="0" customWidth="1"/>
    <col min="9" max="9" width="10.00390625" style="0" customWidth="1"/>
    <col min="10" max="10" width="10.28125" style="0" customWidth="1"/>
    <col min="11" max="11" width="11.140625" style="0" customWidth="1"/>
    <col min="12" max="12" width="9.57421875" style="0" customWidth="1"/>
    <col min="13" max="13" width="10.00390625" style="0" customWidth="1"/>
    <col min="14" max="14" width="10.28125" style="0" customWidth="1"/>
    <col min="15" max="15" width="9.8515625" style="0" customWidth="1"/>
    <col min="16" max="16" width="11.28125" style="0" customWidth="1"/>
    <col min="17" max="17" width="10.57421875" style="0" customWidth="1"/>
    <col min="18" max="18" width="10.28125" style="0" customWidth="1"/>
    <col min="19" max="19" width="9.8515625" style="0" customWidth="1"/>
  </cols>
  <sheetData>
    <row r="1" ht="12.75">
      <c r="A1" s="4" t="s">
        <v>38</v>
      </c>
    </row>
    <row r="2" ht="12.75">
      <c r="A2" s="4" t="str">
        <f>CONCATENATE("New Admissions by Race (BW Only) x Offense: ",$A$1)</f>
        <v>New Admissions by Race (BW Only) x Offense: COLORADO</v>
      </c>
    </row>
    <row r="3" spans="2:19" s="4" customFormat="1" ht="12.75">
      <c r="B3" s="30" t="s">
        <v>14</v>
      </c>
      <c r="C3" s="30"/>
      <c r="D3" s="30"/>
      <c r="E3" s="30" t="s">
        <v>15</v>
      </c>
      <c r="F3" s="30"/>
      <c r="G3" s="30"/>
      <c r="H3" s="30" t="s">
        <v>16</v>
      </c>
      <c r="I3" s="30"/>
      <c r="J3" s="30"/>
      <c r="K3" s="30" t="s">
        <v>17</v>
      </c>
      <c r="L3" s="30"/>
      <c r="M3" s="30"/>
      <c r="N3" s="30" t="s">
        <v>18</v>
      </c>
      <c r="O3" s="30"/>
      <c r="P3" s="30"/>
      <c r="Q3" s="30" t="s">
        <v>19</v>
      </c>
      <c r="R3" s="30"/>
      <c r="S3" s="30"/>
    </row>
    <row r="4" spans="1:19" s="12" customFormat="1" ht="12.75">
      <c r="A4" s="15" t="s">
        <v>25</v>
      </c>
      <c r="B4" s="16" t="s">
        <v>11</v>
      </c>
      <c r="C4" s="16" t="s">
        <v>12</v>
      </c>
      <c r="D4" s="17" t="s">
        <v>31</v>
      </c>
      <c r="E4" s="16" t="s">
        <v>11</v>
      </c>
      <c r="F4" s="16" t="s">
        <v>12</v>
      </c>
      <c r="G4" s="17" t="s">
        <v>31</v>
      </c>
      <c r="H4" s="16" t="s">
        <v>11</v>
      </c>
      <c r="I4" s="16" t="s">
        <v>12</v>
      </c>
      <c r="J4" s="17" t="s">
        <v>31</v>
      </c>
      <c r="K4" s="16" t="s">
        <v>11</v>
      </c>
      <c r="L4" s="16" t="s">
        <v>12</v>
      </c>
      <c r="M4" s="17" t="s">
        <v>31</v>
      </c>
      <c r="N4" s="16" t="s">
        <v>11</v>
      </c>
      <c r="O4" s="16" t="s">
        <v>12</v>
      </c>
      <c r="P4" s="17" t="s">
        <v>31</v>
      </c>
      <c r="Q4" s="16" t="s">
        <v>11</v>
      </c>
      <c r="R4" s="16" t="s">
        <v>12</v>
      </c>
      <c r="S4" s="17" t="s">
        <v>31</v>
      </c>
    </row>
    <row r="5" spans="1:19" ht="12.75">
      <c r="A5" s="9">
        <v>1983</v>
      </c>
      <c r="B5" s="8">
        <v>277</v>
      </c>
      <c r="C5" s="8">
        <v>90</v>
      </c>
      <c r="D5" s="10">
        <v>367</v>
      </c>
      <c r="E5">
        <v>286</v>
      </c>
      <c r="F5">
        <v>77</v>
      </c>
      <c r="G5" s="10">
        <v>363</v>
      </c>
      <c r="H5">
        <v>155</v>
      </c>
      <c r="I5">
        <v>52</v>
      </c>
      <c r="J5" s="10">
        <v>207</v>
      </c>
      <c r="K5">
        <v>52</v>
      </c>
      <c r="L5">
        <v>13</v>
      </c>
      <c r="M5" s="10">
        <v>65</v>
      </c>
      <c r="N5">
        <v>146</v>
      </c>
      <c r="O5">
        <v>56</v>
      </c>
      <c r="P5" s="10">
        <v>202</v>
      </c>
      <c r="Q5">
        <v>916</v>
      </c>
      <c r="R5">
        <v>288</v>
      </c>
      <c r="S5" s="10">
        <v>1204</v>
      </c>
    </row>
    <row r="6" spans="1:19" ht="12.75">
      <c r="A6" s="9">
        <v>1984</v>
      </c>
      <c r="B6" s="8">
        <v>198</v>
      </c>
      <c r="C6" s="8">
        <v>49</v>
      </c>
      <c r="D6" s="10">
        <v>247</v>
      </c>
      <c r="E6">
        <v>229</v>
      </c>
      <c r="F6">
        <v>75</v>
      </c>
      <c r="G6" s="10">
        <v>304</v>
      </c>
      <c r="H6">
        <v>173</v>
      </c>
      <c r="I6">
        <v>41</v>
      </c>
      <c r="J6" s="10">
        <v>214</v>
      </c>
      <c r="K6">
        <v>33</v>
      </c>
      <c r="L6">
        <v>13</v>
      </c>
      <c r="M6" s="10">
        <v>46</v>
      </c>
      <c r="N6">
        <v>122</v>
      </c>
      <c r="O6">
        <v>42</v>
      </c>
      <c r="P6" s="10">
        <v>164</v>
      </c>
      <c r="Q6">
        <v>755</v>
      </c>
      <c r="R6">
        <v>220</v>
      </c>
      <c r="S6" s="10">
        <v>975</v>
      </c>
    </row>
    <row r="7" spans="1:19" ht="12.75">
      <c r="A7" s="9">
        <v>1985</v>
      </c>
      <c r="B7" s="8">
        <v>259</v>
      </c>
      <c r="C7" s="8">
        <v>98</v>
      </c>
      <c r="D7" s="10">
        <v>357</v>
      </c>
      <c r="E7">
        <v>253</v>
      </c>
      <c r="F7">
        <v>77</v>
      </c>
      <c r="G7" s="10">
        <v>330</v>
      </c>
      <c r="H7">
        <v>223</v>
      </c>
      <c r="I7">
        <v>59</v>
      </c>
      <c r="J7" s="10">
        <v>282</v>
      </c>
      <c r="K7">
        <v>69</v>
      </c>
      <c r="L7">
        <v>16</v>
      </c>
      <c r="M7" s="10">
        <v>85</v>
      </c>
      <c r="N7">
        <v>186</v>
      </c>
      <c r="O7">
        <v>66</v>
      </c>
      <c r="P7" s="10">
        <v>252</v>
      </c>
      <c r="Q7">
        <v>990</v>
      </c>
      <c r="R7">
        <v>316</v>
      </c>
      <c r="S7" s="10">
        <v>1306</v>
      </c>
    </row>
    <row r="8" spans="1:19" ht="12.75">
      <c r="A8" s="9">
        <v>1986</v>
      </c>
      <c r="B8" s="8">
        <v>319</v>
      </c>
      <c r="C8" s="8">
        <v>88</v>
      </c>
      <c r="D8" s="10">
        <v>407</v>
      </c>
      <c r="E8">
        <v>250</v>
      </c>
      <c r="F8">
        <v>116</v>
      </c>
      <c r="G8" s="10">
        <v>366</v>
      </c>
      <c r="H8">
        <v>230</v>
      </c>
      <c r="I8">
        <v>81</v>
      </c>
      <c r="J8" s="10">
        <v>311</v>
      </c>
      <c r="K8">
        <v>85</v>
      </c>
      <c r="L8">
        <v>20</v>
      </c>
      <c r="M8" s="10">
        <v>105</v>
      </c>
      <c r="N8">
        <v>220</v>
      </c>
      <c r="O8">
        <v>84</v>
      </c>
      <c r="P8" s="10">
        <v>304</v>
      </c>
      <c r="Q8">
        <v>1104</v>
      </c>
      <c r="R8">
        <v>389</v>
      </c>
      <c r="S8" s="10">
        <v>1493</v>
      </c>
    </row>
    <row r="9" spans="1:19" ht="12.75">
      <c r="A9" s="9">
        <v>1987</v>
      </c>
      <c r="B9" s="8">
        <v>316</v>
      </c>
      <c r="C9" s="8">
        <v>110</v>
      </c>
      <c r="D9" s="10">
        <v>426</v>
      </c>
      <c r="E9">
        <v>290</v>
      </c>
      <c r="F9">
        <v>144</v>
      </c>
      <c r="G9" s="10">
        <v>434</v>
      </c>
      <c r="H9">
        <v>249</v>
      </c>
      <c r="I9">
        <v>78</v>
      </c>
      <c r="J9" s="10">
        <v>327</v>
      </c>
      <c r="K9">
        <v>110</v>
      </c>
      <c r="L9">
        <v>36</v>
      </c>
      <c r="M9" s="10">
        <v>146</v>
      </c>
      <c r="N9">
        <v>268</v>
      </c>
      <c r="O9">
        <v>88</v>
      </c>
      <c r="P9" s="10">
        <v>356</v>
      </c>
      <c r="Q9">
        <v>1233</v>
      </c>
      <c r="R9">
        <v>456</v>
      </c>
      <c r="S9" s="10">
        <v>1689</v>
      </c>
    </row>
    <row r="10" spans="1:19" ht="12.75">
      <c r="A10" s="9">
        <v>1988</v>
      </c>
      <c r="B10" s="8">
        <v>254</v>
      </c>
      <c r="C10" s="8">
        <v>107</v>
      </c>
      <c r="D10" s="10">
        <v>361</v>
      </c>
      <c r="E10">
        <v>235</v>
      </c>
      <c r="F10">
        <v>112</v>
      </c>
      <c r="G10" s="10">
        <v>347</v>
      </c>
      <c r="H10">
        <v>207</v>
      </c>
      <c r="I10">
        <v>76</v>
      </c>
      <c r="J10" s="10">
        <v>283</v>
      </c>
      <c r="K10">
        <v>110</v>
      </c>
      <c r="L10">
        <v>65</v>
      </c>
      <c r="M10" s="10">
        <v>175</v>
      </c>
      <c r="N10">
        <v>256</v>
      </c>
      <c r="O10">
        <v>87</v>
      </c>
      <c r="P10" s="10">
        <v>343</v>
      </c>
      <c r="Q10">
        <v>1062</v>
      </c>
      <c r="R10">
        <v>447</v>
      </c>
      <c r="S10" s="10">
        <v>1509</v>
      </c>
    </row>
    <row r="11" spans="1:19" ht="12.75">
      <c r="A11" s="9">
        <v>1989</v>
      </c>
      <c r="B11" s="8">
        <v>301</v>
      </c>
      <c r="C11" s="8">
        <v>151</v>
      </c>
      <c r="D11" s="10">
        <v>452</v>
      </c>
      <c r="E11">
        <v>288</v>
      </c>
      <c r="F11">
        <v>153</v>
      </c>
      <c r="G11" s="10">
        <v>441</v>
      </c>
      <c r="H11">
        <v>254</v>
      </c>
      <c r="I11">
        <v>89</v>
      </c>
      <c r="J11" s="10">
        <v>343</v>
      </c>
      <c r="K11">
        <v>182</v>
      </c>
      <c r="L11">
        <v>136</v>
      </c>
      <c r="M11" s="10">
        <v>318</v>
      </c>
      <c r="N11">
        <v>329</v>
      </c>
      <c r="O11">
        <v>117</v>
      </c>
      <c r="P11" s="10">
        <v>446</v>
      </c>
      <c r="Q11">
        <v>1354</v>
      </c>
      <c r="R11">
        <v>646</v>
      </c>
      <c r="S11" s="10">
        <v>2000</v>
      </c>
    </row>
    <row r="12" spans="1:19" ht="12.75">
      <c r="A12" s="9">
        <v>1990</v>
      </c>
      <c r="B12" s="8">
        <v>286</v>
      </c>
      <c r="C12" s="8">
        <v>106</v>
      </c>
      <c r="D12" s="10">
        <v>392</v>
      </c>
      <c r="E12">
        <v>216</v>
      </c>
      <c r="F12">
        <v>96</v>
      </c>
      <c r="G12" s="10">
        <v>312</v>
      </c>
      <c r="H12">
        <v>208</v>
      </c>
      <c r="I12">
        <v>76</v>
      </c>
      <c r="J12" s="10">
        <v>284</v>
      </c>
      <c r="K12">
        <v>141</v>
      </c>
      <c r="L12">
        <v>114</v>
      </c>
      <c r="M12" s="10">
        <v>255</v>
      </c>
      <c r="N12">
        <v>310</v>
      </c>
      <c r="O12">
        <v>110</v>
      </c>
      <c r="P12" s="10">
        <v>420</v>
      </c>
      <c r="Q12">
        <v>1161</v>
      </c>
      <c r="R12">
        <v>502</v>
      </c>
      <c r="S12" s="10">
        <v>1663</v>
      </c>
    </row>
    <row r="13" spans="1:19" ht="12.75">
      <c r="A13" s="9">
        <v>1991</v>
      </c>
      <c r="B13" s="8">
        <v>291</v>
      </c>
      <c r="C13" s="8">
        <v>147</v>
      </c>
      <c r="D13" s="10">
        <v>438</v>
      </c>
      <c r="E13">
        <v>188</v>
      </c>
      <c r="F13">
        <v>101</v>
      </c>
      <c r="G13" s="10">
        <v>289</v>
      </c>
      <c r="H13">
        <v>246</v>
      </c>
      <c r="I13">
        <v>89</v>
      </c>
      <c r="J13" s="10">
        <v>335</v>
      </c>
      <c r="K13">
        <v>142</v>
      </c>
      <c r="L13">
        <v>97</v>
      </c>
      <c r="M13" s="10">
        <v>239</v>
      </c>
      <c r="N13">
        <v>294</v>
      </c>
      <c r="O13">
        <v>122</v>
      </c>
      <c r="P13" s="10">
        <v>416</v>
      </c>
      <c r="Q13">
        <v>1161</v>
      </c>
      <c r="R13">
        <v>556</v>
      </c>
      <c r="S13" s="10">
        <v>1717</v>
      </c>
    </row>
    <row r="14" spans="1:19" ht="12.75">
      <c r="A14" s="9">
        <v>1992</v>
      </c>
      <c r="B14" s="8">
        <v>258</v>
      </c>
      <c r="C14" s="8">
        <v>133</v>
      </c>
      <c r="D14" s="10">
        <v>391</v>
      </c>
      <c r="E14">
        <v>226</v>
      </c>
      <c r="F14">
        <v>80</v>
      </c>
      <c r="G14" s="10">
        <v>306</v>
      </c>
      <c r="H14">
        <v>312</v>
      </c>
      <c r="I14">
        <v>87</v>
      </c>
      <c r="J14" s="10">
        <v>399</v>
      </c>
      <c r="K14">
        <v>156</v>
      </c>
      <c r="L14">
        <v>165</v>
      </c>
      <c r="M14" s="10">
        <v>321</v>
      </c>
      <c r="N14">
        <v>412</v>
      </c>
      <c r="O14">
        <v>174</v>
      </c>
      <c r="P14" s="10">
        <v>586</v>
      </c>
      <c r="Q14">
        <v>1364</v>
      </c>
      <c r="R14">
        <v>639</v>
      </c>
      <c r="S14" s="10">
        <v>2003</v>
      </c>
    </row>
    <row r="15" spans="1:19" ht="12.75">
      <c r="A15" s="9">
        <v>1993</v>
      </c>
      <c r="B15" s="8">
        <v>302</v>
      </c>
      <c r="C15" s="8">
        <v>134</v>
      </c>
      <c r="D15" s="10">
        <v>436</v>
      </c>
      <c r="E15">
        <v>198</v>
      </c>
      <c r="F15">
        <v>85</v>
      </c>
      <c r="G15" s="10">
        <v>283</v>
      </c>
      <c r="H15">
        <v>276</v>
      </c>
      <c r="I15">
        <v>83</v>
      </c>
      <c r="J15" s="10">
        <v>359</v>
      </c>
      <c r="K15">
        <v>156</v>
      </c>
      <c r="L15">
        <v>185</v>
      </c>
      <c r="M15" s="10">
        <v>341</v>
      </c>
      <c r="N15">
        <v>422</v>
      </c>
      <c r="O15">
        <v>213</v>
      </c>
      <c r="P15" s="10">
        <v>635</v>
      </c>
      <c r="Q15">
        <v>1354</v>
      </c>
      <c r="R15">
        <v>700</v>
      </c>
      <c r="S15" s="10">
        <v>2054</v>
      </c>
    </row>
    <row r="16" spans="1:19" ht="12.75">
      <c r="A16" s="9">
        <v>1994</v>
      </c>
      <c r="B16" s="8">
        <v>285</v>
      </c>
      <c r="C16" s="8">
        <v>147</v>
      </c>
      <c r="D16" s="10">
        <v>432</v>
      </c>
      <c r="E16">
        <v>172</v>
      </c>
      <c r="F16">
        <v>106</v>
      </c>
      <c r="G16" s="10">
        <v>278</v>
      </c>
      <c r="H16">
        <v>255</v>
      </c>
      <c r="I16">
        <v>75</v>
      </c>
      <c r="J16" s="10">
        <v>330</v>
      </c>
      <c r="K16">
        <v>165</v>
      </c>
      <c r="L16">
        <v>226</v>
      </c>
      <c r="M16" s="10">
        <v>391</v>
      </c>
      <c r="N16">
        <v>420</v>
      </c>
      <c r="O16">
        <v>191</v>
      </c>
      <c r="P16" s="10">
        <v>611</v>
      </c>
      <c r="Q16">
        <v>1297</v>
      </c>
      <c r="R16">
        <v>745</v>
      </c>
      <c r="S16" s="10">
        <v>2042</v>
      </c>
    </row>
    <row r="17" spans="1:19" ht="12.75">
      <c r="A17" s="9">
        <v>1995</v>
      </c>
      <c r="B17" s="8">
        <v>324</v>
      </c>
      <c r="C17" s="8">
        <v>180</v>
      </c>
      <c r="D17" s="10">
        <v>504</v>
      </c>
      <c r="E17">
        <v>194</v>
      </c>
      <c r="F17">
        <v>112</v>
      </c>
      <c r="G17" s="10">
        <v>306</v>
      </c>
      <c r="H17">
        <v>274</v>
      </c>
      <c r="I17">
        <v>95</v>
      </c>
      <c r="J17" s="10">
        <v>369</v>
      </c>
      <c r="K17">
        <v>194</v>
      </c>
      <c r="L17">
        <v>271</v>
      </c>
      <c r="M17" s="10">
        <v>465</v>
      </c>
      <c r="N17">
        <v>466</v>
      </c>
      <c r="O17">
        <v>192</v>
      </c>
      <c r="P17" s="10">
        <v>658</v>
      </c>
      <c r="Q17">
        <v>1452</v>
      </c>
      <c r="R17">
        <v>850</v>
      </c>
      <c r="S17" s="10">
        <v>2302</v>
      </c>
    </row>
    <row r="18" spans="1:19" ht="12.75">
      <c r="A18" s="9">
        <v>1996</v>
      </c>
      <c r="B18" s="8">
        <v>388</v>
      </c>
      <c r="C18" s="8">
        <v>185</v>
      </c>
      <c r="D18" s="10">
        <v>573</v>
      </c>
      <c r="E18">
        <v>255</v>
      </c>
      <c r="F18">
        <v>114</v>
      </c>
      <c r="G18" s="10">
        <v>369</v>
      </c>
      <c r="H18">
        <v>305</v>
      </c>
      <c r="I18">
        <v>102</v>
      </c>
      <c r="J18" s="10">
        <v>407</v>
      </c>
      <c r="K18">
        <v>269</v>
      </c>
      <c r="L18">
        <v>308</v>
      </c>
      <c r="M18" s="10">
        <v>577</v>
      </c>
      <c r="N18">
        <v>464</v>
      </c>
      <c r="O18">
        <v>150</v>
      </c>
      <c r="P18" s="10">
        <v>614</v>
      </c>
      <c r="Q18">
        <v>1681</v>
      </c>
      <c r="R18">
        <v>859</v>
      </c>
      <c r="S18" s="10">
        <v>2540</v>
      </c>
    </row>
    <row r="19" spans="1:19" ht="12.75">
      <c r="A19" s="9">
        <v>1997</v>
      </c>
      <c r="B19" s="8">
        <v>404</v>
      </c>
      <c r="C19" s="8">
        <v>132</v>
      </c>
      <c r="D19" s="10">
        <v>536</v>
      </c>
      <c r="E19">
        <v>232</v>
      </c>
      <c r="F19">
        <v>111</v>
      </c>
      <c r="G19" s="10">
        <v>343</v>
      </c>
      <c r="H19">
        <v>384</v>
      </c>
      <c r="I19">
        <v>123</v>
      </c>
      <c r="J19" s="10">
        <v>507</v>
      </c>
      <c r="K19">
        <v>322</v>
      </c>
      <c r="L19">
        <v>411</v>
      </c>
      <c r="M19" s="10">
        <v>733</v>
      </c>
      <c r="N19">
        <v>371</v>
      </c>
      <c r="O19">
        <v>97</v>
      </c>
      <c r="P19" s="10">
        <v>468</v>
      </c>
      <c r="Q19">
        <v>1713</v>
      </c>
      <c r="R19">
        <v>874</v>
      </c>
      <c r="S19" s="10">
        <v>2587</v>
      </c>
    </row>
    <row r="20" spans="1:19" ht="12.75">
      <c r="A20" s="9">
        <v>1998</v>
      </c>
      <c r="B20" s="8">
        <v>447</v>
      </c>
      <c r="C20" s="8">
        <v>148</v>
      </c>
      <c r="D20" s="10">
        <v>595</v>
      </c>
      <c r="E20">
        <v>289</v>
      </c>
      <c r="F20">
        <v>98</v>
      </c>
      <c r="G20" s="10">
        <v>387</v>
      </c>
      <c r="H20">
        <v>400</v>
      </c>
      <c r="I20">
        <v>105</v>
      </c>
      <c r="J20" s="10">
        <v>505</v>
      </c>
      <c r="K20">
        <v>425</v>
      </c>
      <c r="L20">
        <v>366</v>
      </c>
      <c r="M20" s="10">
        <v>791</v>
      </c>
      <c r="N20">
        <v>410</v>
      </c>
      <c r="O20">
        <v>84</v>
      </c>
      <c r="P20" s="10">
        <v>494</v>
      </c>
      <c r="Q20">
        <v>1971</v>
      </c>
      <c r="R20">
        <v>801</v>
      </c>
      <c r="S20" s="10">
        <v>2772</v>
      </c>
    </row>
    <row r="21" spans="1:19" ht="12.75">
      <c r="A21" s="9">
        <v>1999</v>
      </c>
      <c r="B21" s="8">
        <v>381</v>
      </c>
      <c r="C21" s="8">
        <v>129</v>
      </c>
      <c r="D21" s="10">
        <v>510</v>
      </c>
      <c r="E21">
        <v>249</v>
      </c>
      <c r="F21">
        <v>87</v>
      </c>
      <c r="G21" s="10">
        <v>336</v>
      </c>
      <c r="H21">
        <v>359</v>
      </c>
      <c r="I21">
        <v>82</v>
      </c>
      <c r="J21" s="10">
        <v>441</v>
      </c>
      <c r="K21">
        <v>370</v>
      </c>
      <c r="L21">
        <v>325</v>
      </c>
      <c r="M21" s="10">
        <v>695</v>
      </c>
      <c r="N21">
        <v>421</v>
      </c>
      <c r="O21">
        <v>88</v>
      </c>
      <c r="P21" s="10">
        <v>509</v>
      </c>
      <c r="Q21">
        <v>1780</v>
      </c>
      <c r="R21">
        <v>711</v>
      </c>
      <c r="S21" s="10">
        <v>2491</v>
      </c>
    </row>
    <row r="22" ht="12.75" hidden="1"/>
    <row r="23" ht="12.75" hidden="1">
      <c r="A23" t="s">
        <v>32</v>
      </c>
    </row>
    <row r="25" ht="12.75">
      <c r="A25" s="4" t="str">
        <f>CONCATENATE("Percent of Total New Admissions by Race (BW Only) x Offense: ",$A$1)</f>
        <v>Percent of Total New Admissions by Race (BW Only) x Offense: COLORADO</v>
      </c>
    </row>
    <row r="26" spans="2:19" s="4" customFormat="1" ht="12.75">
      <c r="B26" s="30" t="s">
        <v>14</v>
      </c>
      <c r="C26" s="30"/>
      <c r="D26" s="30"/>
      <c r="E26" s="30" t="s">
        <v>15</v>
      </c>
      <c r="F26" s="30"/>
      <c r="G26" s="30"/>
      <c r="H26" s="30" t="s">
        <v>16</v>
      </c>
      <c r="I26" s="30"/>
      <c r="J26" s="30"/>
      <c r="K26" s="30" t="s">
        <v>17</v>
      </c>
      <c r="L26" s="30"/>
      <c r="M26" s="30"/>
      <c r="N26" s="30" t="s">
        <v>18</v>
      </c>
      <c r="O26" s="30"/>
      <c r="P26" s="30"/>
      <c r="Q26" s="30" t="s">
        <v>19</v>
      </c>
      <c r="R26" s="30"/>
      <c r="S26" s="30"/>
    </row>
    <row r="27" spans="1:19" s="12" customFormat="1" ht="12.75">
      <c r="A27" s="15" t="s">
        <v>25</v>
      </c>
      <c r="B27" s="16" t="s">
        <v>11</v>
      </c>
      <c r="C27" s="16" t="s">
        <v>12</v>
      </c>
      <c r="D27" s="17" t="s">
        <v>31</v>
      </c>
      <c r="E27" s="16" t="s">
        <v>11</v>
      </c>
      <c r="F27" s="16" t="s">
        <v>12</v>
      </c>
      <c r="G27" s="17" t="s">
        <v>31</v>
      </c>
      <c r="H27" s="16" t="s">
        <v>11</v>
      </c>
      <c r="I27" s="16" t="s">
        <v>12</v>
      </c>
      <c r="J27" s="17" t="s">
        <v>31</v>
      </c>
      <c r="K27" s="16" t="s">
        <v>11</v>
      </c>
      <c r="L27" s="16" t="s">
        <v>12</v>
      </c>
      <c r="M27" s="17" t="s">
        <v>31</v>
      </c>
      <c r="N27" s="16" t="s">
        <v>11</v>
      </c>
      <c r="O27" s="16" t="s">
        <v>12</v>
      </c>
      <c r="P27" s="17" t="s">
        <v>31</v>
      </c>
      <c r="Q27" s="16" t="s">
        <v>11</v>
      </c>
      <c r="R27" s="16" t="s">
        <v>12</v>
      </c>
      <c r="S27" s="17" t="s">
        <v>31</v>
      </c>
    </row>
    <row r="28" spans="1:19" ht="12.75">
      <c r="A28" s="9">
        <v>1983</v>
      </c>
      <c r="B28" s="1">
        <f>(B5/$D5)*100</f>
        <v>75.47683923705722</v>
      </c>
      <c r="C28" s="1">
        <f>(C5/$D5)*100</f>
        <v>24.52316076294278</v>
      </c>
      <c r="D28" s="11">
        <f>(D5/$D5)*100</f>
        <v>100</v>
      </c>
      <c r="E28" s="1">
        <f>(E5/$G5)*100</f>
        <v>78.78787878787878</v>
      </c>
      <c r="F28" s="1">
        <f>(F5/$G5)*100</f>
        <v>21.21212121212121</v>
      </c>
      <c r="G28" s="11">
        <f>(G5/$G5)*100</f>
        <v>100</v>
      </c>
      <c r="H28" s="1">
        <f>(H5/$J5)*100</f>
        <v>74.8792270531401</v>
      </c>
      <c r="I28" s="1">
        <f>(I5/$J5)*100</f>
        <v>25.120772946859905</v>
      </c>
      <c r="J28" s="11">
        <f>(J5/$J5)*100</f>
        <v>100</v>
      </c>
      <c r="K28" s="1">
        <f>(K5/$M5)*100</f>
        <v>80</v>
      </c>
      <c r="L28" s="1">
        <f>(L5/$M5)*100</f>
        <v>20</v>
      </c>
      <c r="M28" s="11">
        <f>(M5/$M5)*100</f>
        <v>100</v>
      </c>
      <c r="N28" s="1">
        <f>(N5/$P5)*100</f>
        <v>72.27722772277228</v>
      </c>
      <c r="O28" s="1">
        <f>(O5/$P5)*100</f>
        <v>27.722772277227726</v>
      </c>
      <c r="P28" s="11">
        <f>(P5/$P5)*100</f>
        <v>100</v>
      </c>
      <c r="Q28" s="1">
        <f>(Q5/$S5)*100</f>
        <v>76.0797342192691</v>
      </c>
      <c r="R28" s="1">
        <f>(R5/$S5)*100</f>
        <v>23.920265780730897</v>
      </c>
      <c r="S28" s="11">
        <f>(S5/$S5)*100</f>
        <v>100</v>
      </c>
    </row>
    <row r="29" spans="1:19" ht="12.75">
      <c r="A29" s="9">
        <v>1984</v>
      </c>
      <c r="B29" s="1">
        <f aca="true" t="shared" si="0" ref="B29:C44">(B6/$D6)*100</f>
        <v>80.16194331983806</v>
      </c>
      <c r="C29" s="1">
        <f t="shared" si="0"/>
        <v>19.838056680161944</v>
      </c>
      <c r="D29" s="11">
        <f aca="true" t="shared" si="1" ref="D29:D44">(D6/$D6)*100</f>
        <v>100</v>
      </c>
      <c r="E29" s="1">
        <f aca="true" t="shared" si="2" ref="E29:G44">(E6/$G6)*100</f>
        <v>75.32894736842105</v>
      </c>
      <c r="F29" s="1">
        <f t="shared" si="2"/>
        <v>24.671052631578945</v>
      </c>
      <c r="G29" s="11">
        <f t="shared" si="2"/>
        <v>100</v>
      </c>
      <c r="H29" s="1">
        <f aca="true" t="shared" si="3" ref="H29:J44">(H6/$J6)*100</f>
        <v>80.8411214953271</v>
      </c>
      <c r="I29" s="1">
        <f t="shared" si="3"/>
        <v>19.158878504672895</v>
      </c>
      <c r="J29" s="11">
        <f t="shared" si="3"/>
        <v>100</v>
      </c>
      <c r="K29" s="1">
        <f aca="true" t="shared" si="4" ref="K29:M44">(K6/$M6)*100</f>
        <v>71.73913043478261</v>
      </c>
      <c r="L29" s="1">
        <f t="shared" si="4"/>
        <v>28.26086956521739</v>
      </c>
      <c r="M29" s="11">
        <f t="shared" si="4"/>
        <v>100</v>
      </c>
      <c r="N29" s="1">
        <f aca="true" t="shared" si="5" ref="N29:P44">(N6/$P6)*100</f>
        <v>74.39024390243902</v>
      </c>
      <c r="O29" s="1">
        <f t="shared" si="5"/>
        <v>25.609756097560975</v>
      </c>
      <c r="P29" s="11">
        <f t="shared" si="5"/>
        <v>100</v>
      </c>
      <c r="Q29" s="1">
        <f aca="true" t="shared" si="6" ref="Q29:S44">(Q6/$S6)*100</f>
        <v>77.43589743589745</v>
      </c>
      <c r="R29" s="1">
        <f t="shared" si="6"/>
        <v>22.564102564102566</v>
      </c>
      <c r="S29" s="11">
        <f t="shared" si="6"/>
        <v>100</v>
      </c>
    </row>
    <row r="30" spans="1:19" ht="12.75">
      <c r="A30" s="9">
        <v>1985</v>
      </c>
      <c r="B30" s="1">
        <f t="shared" si="0"/>
        <v>72.54901960784314</v>
      </c>
      <c r="C30" s="1">
        <f t="shared" si="0"/>
        <v>27.450980392156865</v>
      </c>
      <c r="D30" s="11">
        <f t="shared" si="1"/>
        <v>100</v>
      </c>
      <c r="E30" s="1">
        <f t="shared" si="2"/>
        <v>76.66666666666667</v>
      </c>
      <c r="F30" s="1">
        <f t="shared" si="2"/>
        <v>23.333333333333332</v>
      </c>
      <c r="G30" s="11">
        <f t="shared" si="2"/>
        <v>100</v>
      </c>
      <c r="H30" s="1">
        <f t="shared" si="3"/>
        <v>79.07801418439716</v>
      </c>
      <c r="I30" s="1">
        <f t="shared" si="3"/>
        <v>20.921985815602838</v>
      </c>
      <c r="J30" s="11">
        <f t="shared" si="3"/>
        <v>100</v>
      </c>
      <c r="K30" s="1">
        <f t="shared" si="4"/>
        <v>81.17647058823529</v>
      </c>
      <c r="L30" s="1">
        <f t="shared" si="4"/>
        <v>18.823529411764707</v>
      </c>
      <c r="M30" s="11">
        <f t="shared" si="4"/>
        <v>100</v>
      </c>
      <c r="N30" s="1">
        <f t="shared" si="5"/>
        <v>73.80952380952381</v>
      </c>
      <c r="O30" s="1">
        <f t="shared" si="5"/>
        <v>26.190476190476193</v>
      </c>
      <c r="P30" s="11">
        <f t="shared" si="5"/>
        <v>100</v>
      </c>
      <c r="Q30" s="1">
        <f t="shared" si="6"/>
        <v>75.80398162327718</v>
      </c>
      <c r="R30" s="1">
        <f t="shared" si="6"/>
        <v>24.196018376722815</v>
      </c>
      <c r="S30" s="11">
        <f t="shared" si="6"/>
        <v>100</v>
      </c>
    </row>
    <row r="31" spans="1:19" ht="12.75">
      <c r="A31" s="9">
        <v>1986</v>
      </c>
      <c r="B31" s="1">
        <f t="shared" si="0"/>
        <v>78.37837837837837</v>
      </c>
      <c r="C31" s="1">
        <f t="shared" si="0"/>
        <v>21.62162162162162</v>
      </c>
      <c r="D31" s="11">
        <f t="shared" si="1"/>
        <v>100</v>
      </c>
      <c r="E31" s="1">
        <f t="shared" si="2"/>
        <v>68.30601092896174</v>
      </c>
      <c r="F31" s="1">
        <f t="shared" si="2"/>
        <v>31.693989071038253</v>
      </c>
      <c r="G31" s="11">
        <f t="shared" si="2"/>
        <v>100</v>
      </c>
      <c r="H31" s="1">
        <f t="shared" si="3"/>
        <v>73.95498392282958</v>
      </c>
      <c r="I31" s="1">
        <f t="shared" si="3"/>
        <v>26.04501607717042</v>
      </c>
      <c r="J31" s="11">
        <f t="shared" si="3"/>
        <v>100</v>
      </c>
      <c r="K31" s="1">
        <f t="shared" si="4"/>
        <v>80.95238095238095</v>
      </c>
      <c r="L31" s="1">
        <f t="shared" si="4"/>
        <v>19.047619047619047</v>
      </c>
      <c r="M31" s="11">
        <f t="shared" si="4"/>
        <v>100</v>
      </c>
      <c r="N31" s="1">
        <f t="shared" si="5"/>
        <v>72.36842105263158</v>
      </c>
      <c r="O31" s="1">
        <f t="shared" si="5"/>
        <v>27.631578947368425</v>
      </c>
      <c r="P31" s="11">
        <f t="shared" si="5"/>
        <v>100</v>
      </c>
      <c r="Q31" s="1">
        <f t="shared" si="6"/>
        <v>73.9450770261219</v>
      </c>
      <c r="R31" s="1">
        <f t="shared" si="6"/>
        <v>26.054922973878096</v>
      </c>
      <c r="S31" s="11">
        <f t="shared" si="6"/>
        <v>100</v>
      </c>
    </row>
    <row r="32" spans="1:19" ht="12.75">
      <c r="A32" s="9">
        <v>1987</v>
      </c>
      <c r="B32" s="1">
        <f t="shared" si="0"/>
        <v>74.17840375586854</v>
      </c>
      <c r="C32" s="1">
        <f t="shared" si="0"/>
        <v>25.821596244131456</v>
      </c>
      <c r="D32" s="11">
        <f t="shared" si="1"/>
        <v>100</v>
      </c>
      <c r="E32" s="1">
        <f t="shared" si="2"/>
        <v>66.82027649769586</v>
      </c>
      <c r="F32" s="1">
        <f t="shared" si="2"/>
        <v>33.17972350230415</v>
      </c>
      <c r="G32" s="11">
        <f t="shared" si="2"/>
        <v>100</v>
      </c>
      <c r="H32" s="1">
        <f t="shared" si="3"/>
        <v>76.14678899082568</v>
      </c>
      <c r="I32" s="1">
        <f t="shared" si="3"/>
        <v>23.853211009174313</v>
      </c>
      <c r="J32" s="11">
        <f t="shared" si="3"/>
        <v>100</v>
      </c>
      <c r="K32" s="1">
        <f t="shared" si="4"/>
        <v>75.34246575342466</v>
      </c>
      <c r="L32" s="1">
        <f t="shared" si="4"/>
        <v>24.65753424657534</v>
      </c>
      <c r="M32" s="11">
        <f t="shared" si="4"/>
        <v>100</v>
      </c>
      <c r="N32" s="1">
        <f t="shared" si="5"/>
        <v>75.28089887640449</v>
      </c>
      <c r="O32" s="1">
        <f t="shared" si="5"/>
        <v>24.719101123595504</v>
      </c>
      <c r="P32" s="11">
        <f t="shared" si="5"/>
        <v>100</v>
      </c>
      <c r="Q32" s="1">
        <f t="shared" si="6"/>
        <v>73.00177619893428</v>
      </c>
      <c r="R32" s="1">
        <f t="shared" si="6"/>
        <v>26.99822380106572</v>
      </c>
      <c r="S32" s="11">
        <f t="shared" si="6"/>
        <v>100</v>
      </c>
    </row>
    <row r="33" spans="1:19" ht="12.75">
      <c r="A33" s="9">
        <v>1988</v>
      </c>
      <c r="B33" s="1">
        <f t="shared" si="0"/>
        <v>70.3601108033241</v>
      </c>
      <c r="C33" s="1">
        <f t="shared" si="0"/>
        <v>29.6398891966759</v>
      </c>
      <c r="D33" s="11">
        <f t="shared" si="1"/>
        <v>100</v>
      </c>
      <c r="E33" s="1">
        <f t="shared" si="2"/>
        <v>67.72334293948127</v>
      </c>
      <c r="F33" s="1">
        <f t="shared" si="2"/>
        <v>32.27665706051873</v>
      </c>
      <c r="G33" s="11">
        <f t="shared" si="2"/>
        <v>100</v>
      </c>
      <c r="H33" s="1">
        <f t="shared" si="3"/>
        <v>73.14487632508833</v>
      </c>
      <c r="I33" s="1">
        <f t="shared" si="3"/>
        <v>26.855123674911663</v>
      </c>
      <c r="J33" s="11">
        <f t="shared" si="3"/>
        <v>100</v>
      </c>
      <c r="K33" s="1">
        <f t="shared" si="4"/>
        <v>62.857142857142854</v>
      </c>
      <c r="L33" s="1">
        <f t="shared" si="4"/>
        <v>37.142857142857146</v>
      </c>
      <c r="M33" s="11">
        <f t="shared" si="4"/>
        <v>100</v>
      </c>
      <c r="N33" s="1">
        <f t="shared" si="5"/>
        <v>74.63556851311954</v>
      </c>
      <c r="O33" s="1">
        <f t="shared" si="5"/>
        <v>25.364431486880466</v>
      </c>
      <c r="P33" s="11">
        <f t="shared" si="5"/>
        <v>100</v>
      </c>
      <c r="Q33" s="1">
        <f t="shared" si="6"/>
        <v>70.37773359840955</v>
      </c>
      <c r="R33" s="1">
        <f t="shared" si="6"/>
        <v>29.62226640159046</v>
      </c>
      <c r="S33" s="11">
        <f t="shared" si="6"/>
        <v>100</v>
      </c>
    </row>
    <row r="34" spans="1:19" ht="12.75">
      <c r="A34" s="9">
        <v>1989</v>
      </c>
      <c r="B34" s="1">
        <f t="shared" si="0"/>
        <v>66.5929203539823</v>
      </c>
      <c r="C34" s="1">
        <f t="shared" si="0"/>
        <v>33.4070796460177</v>
      </c>
      <c r="D34" s="11">
        <f t="shared" si="1"/>
        <v>100</v>
      </c>
      <c r="E34" s="1">
        <f t="shared" si="2"/>
        <v>65.3061224489796</v>
      </c>
      <c r="F34" s="1">
        <f t="shared" si="2"/>
        <v>34.69387755102041</v>
      </c>
      <c r="G34" s="11">
        <f t="shared" si="2"/>
        <v>100</v>
      </c>
      <c r="H34" s="1">
        <f t="shared" si="3"/>
        <v>74.05247813411079</v>
      </c>
      <c r="I34" s="1">
        <f t="shared" si="3"/>
        <v>25.94752186588921</v>
      </c>
      <c r="J34" s="11">
        <f t="shared" si="3"/>
        <v>100</v>
      </c>
      <c r="K34" s="1">
        <f t="shared" si="4"/>
        <v>57.23270440251572</v>
      </c>
      <c r="L34" s="1">
        <f t="shared" si="4"/>
        <v>42.76729559748428</v>
      </c>
      <c r="M34" s="11">
        <f t="shared" si="4"/>
        <v>100</v>
      </c>
      <c r="N34" s="1">
        <f t="shared" si="5"/>
        <v>73.76681614349776</v>
      </c>
      <c r="O34" s="1">
        <f t="shared" si="5"/>
        <v>26.23318385650224</v>
      </c>
      <c r="P34" s="11">
        <f t="shared" si="5"/>
        <v>100</v>
      </c>
      <c r="Q34" s="1">
        <f t="shared" si="6"/>
        <v>67.7</v>
      </c>
      <c r="R34" s="1">
        <f t="shared" si="6"/>
        <v>32.300000000000004</v>
      </c>
      <c r="S34" s="11">
        <f t="shared" si="6"/>
        <v>100</v>
      </c>
    </row>
    <row r="35" spans="1:19" ht="12.75">
      <c r="A35" s="9">
        <v>1990</v>
      </c>
      <c r="B35" s="1">
        <f t="shared" si="0"/>
        <v>72.95918367346938</v>
      </c>
      <c r="C35" s="1">
        <f t="shared" si="0"/>
        <v>27.040816326530614</v>
      </c>
      <c r="D35" s="11">
        <f t="shared" si="1"/>
        <v>100</v>
      </c>
      <c r="E35" s="1">
        <f t="shared" si="2"/>
        <v>69.23076923076923</v>
      </c>
      <c r="F35" s="1">
        <f t="shared" si="2"/>
        <v>30.76923076923077</v>
      </c>
      <c r="G35" s="11">
        <f t="shared" si="2"/>
        <v>100</v>
      </c>
      <c r="H35" s="1">
        <f t="shared" si="3"/>
        <v>73.23943661971832</v>
      </c>
      <c r="I35" s="1">
        <f t="shared" si="3"/>
        <v>26.76056338028169</v>
      </c>
      <c r="J35" s="11">
        <f t="shared" si="3"/>
        <v>100</v>
      </c>
      <c r="K35" s="1">
        <f t="shared" si="4"/>
        <v>55.294117647058826</v>
      </c>
      <c r="L35" s="1">
        <f t="shared" si="4"/>
        <v>44.70588235294118</v>
      </c>
      <c r="M35" s="11">
        <f t="shared" si="4"/>
        <v>100</v>
      </c>
      <c r="N35" s="1">
        <f t="shared" si="5"/>
        <v>73.80952380952381</v>
      </c>
      <c r="O35" s="1">
        <f t="shared" si="5"/>
        <v>26.190476190476193</v>
      </c>
      <c r="P35" s="11">
        <f t="shared" si="5"/>
        <v>100</v>
      </c>
      <c r="Q35" s="1">
        <f t="shared" si="6"/>
        <v>69.8135898977751</v>
      </c>
      <c r="R35" s="1">
        <f t="shared" si="6"/>
        <v>30.18641010222489</v>
      </c>
      <c r="S35" s="11">
        <f t="shared" si="6"/>
        <v>100</v>
      </c>
    </row>
    <row r="36" spans="1:19" ht="12.75">
      <c r="A36" s="9">
        <v>1991</v>
      </c>
      <c r="B36" s="1">
        <f t="shared" si="0"/>
        <v>66.43835616438356</v>
      </c>
      <c r="C36" s="1">
        <f t="shared" si="0"/>
        <v>33.56164383561644</v>
      </c>
      <c r="D36" s="11">
        <f t="shared" si="1"/>
        <v>100</v>
      </c>
      <c r="E36" s="1">
        <f t="shared" si="2"/>
        <v>65.05190311418684</v>
      </c>
      <c r="F36" s="1">
        <f t="shared" si="2"/>
        <v>34.94809688581315</v>
      </c>
      <c r="G36" s="11">
        <f t="shared" si="2"/>
        <v>100</v>
      </c>
      <c r="H36" s="1">
        <f t="shared" si="3"/>
        <v>73.43283582089552</v>
      </c>
      <c r="I36" s="1">
        <f t="shared" si="3"/>
        <v>26.56716417910448</v>
      </c>
      <c r="J36" s="11">
        <f t="shared" si="3"/>
        <v>100</v>
      </c>
      <c r="K36" s="1">
        <f t="shared" si="4"/>
        <v>59.41422594142259</v>
      </c>
      <c r="L36" s="1">
        <f t="shared" si="4"/>
        <v>40.58577405857741</v>
      </c>
      <c r="M36" s="11">
        <f t="shared" si="4"/>
        <v>100</v>
      </c>
      <c r="N36" s="1">
        <f t="shared" si="5"/>
        <v>70.67307692307693</v>
      </c>
      <c r="O36" s="1">
        <f t="shared" si="5"/>
        <v>29.326923076923077</v>
      </c>
      <c r="P36" s="11">
        <f t="shared" si="5"/>
        <v>100</v>
      </c>
      <c r="Q36" s="1">
        <f t="shared" si="6"/>
        <v>67.61793826441468</v>
      </c>
      <c r="R36" s="1">
        <f t="shared" si="6"/>
        <v>32.382061735585324</v>
      </c>
      <c r="S36" s="11">
        <f t="shared" si="6"/>
        <v>100</v>
      </c>
    </row>
    <row r="37" spans="1:19" ht="12.75">
      <c r="A37" s="9">
        <v>1992</v>
      </c>
      <c r="B37" s="1">
        <f t="shared" si="0"/>
        <v>65.98465473145781</v>
      </c>
      <c r="C37" s="1">
        <f t="shared" si="0"/>
        <v>34.015345268542205</v>
      </c>
      <c r="D37" s="11">
        <f t="shared" si="1"/>
        <v>100</v>
      </c>
      <c r="E37" s="1">
        <f t="shared" si="2"/>
        <v>73.8562091503268</v>
      </c>
      <c r="F37" s="1">
        <f t="shared" si="2"/>
        <v>26.143790849673206</v>
      </c>
      <c r="G37" s="11">
        <f t="shared" si="2"/>
        <v>100</v>
      </c>
      <c r="H37" s="1">
        <f t="shared" si="3"/>
        <v>78.19548872180451</v>
      </c>
      <c r="I37" s="1">
        <f t="shared" si="3"/>
        <v>21.804511278195488</v>
      </c>
      <c r="J37" s="11">
        <f t="shared" si="3"/>
        <v>100</v>
      </c>
      <c r="K37" s="1">
        <f t="shared" si="4"/>
        <v>48.598130841121495</v>
      </c>
      <c r="L37" s="1">
        <f t="shared" si="4"/>
        <v>51.4018691588785</v>
      </c>
      <c r="M37" s="11">
        <f t="shared" si="4"/>
        <v>100</v>
      </c>
      <c r="N37" s="1">
        <f t="shared" si="5"/>
        <v>70.30716723549489</v>
      </c>
      <c r="O37" s="1">
        <f t="shared" si="5"/>
        <v>29.692832764505116</v>
      </c>
      <c r="P37" s="11">
        <f t="shared" si="5"/>
        <v>100</v>
      </c>
      <c r="Q37" s="1">
        <f t="shared" si="6"/>
        <v>68.09785322016975</v>
      </c>
      <c r="R37" s="1">
        <f t="shared" si="6"/>
        <v>31.902146779830254</v>
      </c>
      <c r="S37" s="11">
        <f t="shared" si="6"/>
        <v>100</v>
      </c>
    </row>
    <row r="38" spans="1:19" ht="12.75">
      <c r="A38" s="9">
        <v>1993</v>
      </c>
      <c r="B38" s="1">
        <f t="shared" si="0"/>
        <v>69.26605504587155</v>
      </c>
      <c r="C38" s="1">
        <f t="shared" si="0"/>
        <v>30.73394495412844</v>
      </c>
      <c r="D38" s="11">
        <f t="shared" si="1"/>
        <v>100</v>
      </c>
      <c r="E38" s="1">
        <f t="shared" si="2"/>
        <v>69.96466431095406</v>
      </c>
      <c r="F38" s="1">
        <f t="shared" si="2"/>
        <v>30.03533568904594</v>
      </c>
      <c r="G38" s="11">
        <f t="shared" si="2"/>
        <v>100</v>
      </c>
      <c r="H38" s="1">
        <f t="shared" si="3"/>
        <v>76.88022284122563</v>
      </c>
      <c r="I38" s="1">
        <f t="shared" si="3"/>
        <v>23.119777158774372</v>
      </c>
      <c r="J38" s="11">
        <f t="shared" si="3"/>
        <v>100</v>
      </c>
      <c r="K38" s="1">
        <f t="shared" si="4"/>
        <v>45.74780058651026</v>
      </c>
      <c r="L38" s="1">
        <f t="shared" si="4"/>
        <v>54.252199413489734</v>
      </c>
      <c r="M38" s="11">
        <f t="shared" si="4"/>
        <v>100</v>
      </c>
      <c r="N38" s="1">
        <f t="shared" si="5"/>
        <v>66.45669291338582</v>
      </c>
      <c r="O38" s="1">
        <f t="shared" si="5"/>
        <v>33.54330708661417</v>
      </c>
      <c r="P38" s="11">
        <f t="shared" si="5"/>
        <v>100</v>
      </c>
      <c r="Q38" s="1">
        <f t="shared" si="6"/>
        <v>65.92015579357351</v>
      </c>
      <c r="R38" s="1">
        <f t="shared" si="6"/>
        <v>34.079844206426486</v>
      </c>
      <c r="S38" s="11">
        <f t="shared" si="6"/>
        <v>100</v>
      </c>
    </row>
    <row r="39" spans="1:19" ht="12.75">
      <c r="A39" s="9">
        <v>1994</v>
      </c>
      <c r="B39" s="1">
        <f t="shared" si="0"/>
        <v>65.97222222222221</v>
      </c>
      <c r="C39" s="1">
        <f t="shared" si="0"/>
        <v>34.02777777777778</v>
      </c>
      <c r="D39" s="11">
        <f t="shared" si="1"/>
        <v>100</v>
      </c>
      <c r="E39" s="1">
        <f t="shared" si="2"/>
        <v>61.87050359712231</v>
      </c>
      <c r="F39" s="1">
        <f t="shared" si="2"/>
        <v>38.1294964028777</v>
      </c>
      <c r="G39" s="11">
        <f t="shared" si="2"/>
        <v>100</v>
      </c>
      <c r="H39" s="1">
        <f t="shared" si="3"/>
        <v>77.27272727272727</v>
      </c>
      <c r="I39" s="1">
        <f t="shared" si="3"/>
        <v>22.727272727272727</v>
      </c>
      <c r="J39" s="11">
        <f t="shared" si="3"/>
        <v>100</v>
      </c>
      <c r="K39" s="1">
        <f t="shared" si="4"/>
        <v>42.19948849104859</v>
      </c>
      <c r="L39" s="1">
        <f t="shared" si="4"/>
        <v>57.8005115089514</v>
      </c>
      <c r="M39" s="11">
        <f t="shared" si="4"/>
        <v>100</v>
      </c>
      <c r="N39" s="1">
        <f t="shared" si="5"/>
        <v>68.73977086743044</v>
      </c>
      <c r="O39" s="1">
        <f t="shared" si="5"/>
        <v>31.260229132569556</v>
      </c>
      <c r="P39" s="11">
        <f t="shared" si="5"/>
        <v>100</v>
      </c>
      <c r="Q39" s="1">
        <f t="shared" si="6"/>
        <v>63.51616062683644</v>
      </c>
      <c r="R39" s="1">
        <f t="shared" si="6"/>
        <v>36.48383937316356</v>
      </c>
      <c r="S39" s="11">
        <f t="shared" si="6"/>
        <v>100</v>
      </c>
    </row>
    <row r="40" spans="1:19" ht="12.75">
      <c r="A40" s="9">
        <v>1995</v>
      </c>
      <c r="B40" s="1">
        <f t="shared" si="0"/>
        <v>64.28571428571429</v>
      </c>
      <c r="C40" s="1">
        <f t="shared" si="0"/>
        <v>35.714285714285715</v>
      </c>
      <c r="D40" s="11">
        <f t="shared" si="1"/>
        <v>100</v>
      </c>
      <c r="E40" s="1">
        <f t="shared" si="2"/>
        <v>63.39869281045751</v>
      </c>
      <c r="F40" s="1">
        <f t="shared" si="2"/>
        <v>36.60130718954248</v>
      </c>
      <c r="G40" s="11">
        <f t="shared" si="2"/>
        <v>100</v>
      </c>
      <c r="H40" s="1">
        <f t="shared" si="3"/>
        <v>74.25474254742548</v>
      </c>
      <c r="I40" s="1">
        <f t="shared" si="3"/>
        <v>25.745257452574528</v>
      </c>
      <c r="J40" s="11">
        <f t="shared" si="3"/>
        <v>100</v>
      </c>
      <c r="K40" s="1">
        <f t="shared" si="4"/>
        <v>41.72043010752688</v>
      </c>
      <c r="L40" s="1">
        <f t="shared" si="4"/>
        <v>58.27956989247311</v>
      </c>
      <c r="M40" s="11">
        <f t="shared" si="4"/>
        <v>100</v>
      </c>
      <c r="N40" s="1">
        <f t="shared" si="5"/>
        <v>70.82066869300911</v>
      </c>
      <c r="O40" s="1">
        <f t="shared" si="5"/>
        <v>29.17933130699088</v>
      </c>
      <c r="P40" s="11">
        <f t="shared" si="5"/>
        <v>100</v>
      </c>
      <c r="Q40" s="1">
        <f t="shared" si="6"/>
        <v>63.0755864465682</v>
      </c>
      <c r="R40" s="1">
        <f t="shared" si="6"/>
        <v>36.9244135534318</v>
      </c>
      <c r="S40" s="11">
        <f t="shared" si="6"/>
        <v>100</v>
      </c>
    </row>
    <row r="41" spans="1:19" ht="12.75">
      <c r="A41" s="9">
        <v>1996</v>
      </c>
      <c r="B41" s="1">
        <f t="shared" si="0"/>
        <v>67.71378708551484</v>
      </c>
      <c r="C41" s="1">
        <f t="shared" si="0"/>
        <v>32.28621291448517</v>
      </c>
      <c r="D41" s="11">
        <f t="shared" si="1"/>
        <v>100</v>
      </c>
      <c r="E41" s="1">
        <f t="shared" si="2"/>
        <v>69.10569105691057</v>
      </c>
      <c r="F41" s="1">
        <f t="shared" si="2"/>
        <v>30.89430894308943</v>
      </c>
      <c r="G41" s="11">
        <f t="shared" si="2"/>
        <v>100</v>
      </c>
      <c r="H41" s="1">
        <f t="shared" si="3"/>
        <v>74.93857493857494</v>
      </c>
      <c r="I41" s="1">
        <f t="shared" si="3"/>
        <v>25.061425061425062</v>
      </c>
      <c r="J41" s="11">
        <f t="shared" si="3"/>
        <v>100</v>
      </c>
      <c r="K41" s="1">
        <f t="shared" si="4"/>
        <v>46.62045060658579</v>
      </c>
      <c r="L41" s="1">
        <f t="shared" si="4"/>
        <v>53.379549393414216</v>
      </c>
      <c r="M41" s="11">
        <f t="shared" si="4"/>
        <v>100</v>
      </c>
      <c r="N41" s="1">
        <f t="shared" si="5"/>
        <v>75.57003257328991</v>
      </c>
      <c r="O41" s="1">
        <f t="shared" si="5"/>
        <v>24.429967426710096</v>
      </c>
      <c r="P41" s="11">
        <f t="shared" si="5"/>
        <v>100</v>
      </c>
      <c r="Q41" s="1">
        <f t="shared" si="6"/>
        <v>66.18110236220473</v>
      </c>
      <c r="R41" s="1">
        <f t="shared" si="6"/>
        <v>33.818897637795274</v>
      </c>
      <c r="S41" s="11">
        <f t="shared" si="6"/>
        <v>100</v>
      </c>
    </row>
    <row r="42" spans="1:19" ht="12.75">
      <c r="A42" s="9">
        <v>1997</v>
      </c>
      <c r="B42" s="1">
        <f t="shared" si="0"/>
        <v>75.3731343283582</v>
      </c>
      <c r="C42" s="1">
        <f t="shared" si="0"/>
        <v>24.62686567164179</v>
      </c>
      <c r="D42" s="11">
        <f t="shared" si="1"/>
        <v>100</v>
      </c>
      <c r="E42" s="1">
        <f t="shared" si="2"/>
        <v>67.63848396501457</v>
      </c>
      <c r="F42" s="1">
        <f t="shared" si="2"/>
        <v>32.36151603498542</v>
      </c>
      <c r="G42" s="11">
        <f t="shared" si="2"/>
        <v>100</v>
      </c>
      <c r="H42" s="1">
        <f t="shared" si="3"/>
        <v>75.7396449704142</v>
      </c>
      <c r="I42" s="1">
        <f t="shared" si="3"/>
        <v>24.2603550295858</v>
      </c>
      <c r="J42" s="11">
        <f t="shared" si="3"/>
        <v>100</v>
      </c>
      <c r="K42" s="1">
        <f t="shared" si="4"/>
        <v>43.92905866302865</v>
      </c>
      <c r="L42" s="1">
        <f t="shared" si="4"/>
        <v>56.070941336971345</v>
      </c>
      <c r="M42" s="11">
        <f t="shared" si="4"/>
        <v>100</v>
      </c>
      <c r="N42" s="1">
        <f t="shared" si="5"/>
        <v>79.27350427350427</v>
      </c>
      <c r="O42" s="1">
        <f t="shared" si="5"/>
        <v>20.726495726495727</v>
      </c>
      <c r="P42" s="11">
        <f t="shared" si="5"/>
        <v>100</v>
      </c>
      <c r="Q42" s="1">
        <f t="shared" si="6"/>
        <v>66.2156938538848</v>
      </c>
      <c r="R42" s="1">
        <f t="shared" si="6"/>
        <v>33.78430614611519</v>
      </c>
      <c r="S42" s="11">
        <f t="shared" si="6"/>
        <v>100</v>
      </c>
    </row>
    <row r="43" spans="1:19" ht="12.75">
      <c r="A43" s="9">
        <v>1998</v>
      </c>
      <c r="B43" s="1">
        <f t="shared" si="0"/>
        <v>75.12605042016807</v>
      </c>
      <c r="C43" s="1">
        <f t="shared" si="0"/>
        <v>24.873949579831933</v>
      </c>
      <c r="D43" s="11">
        <f t="shared" si="1"/>
        <v>100</v>
      </c>
      <c r="E43" s="1">
        <f t="shared" si="2"/>
        <v>74.67700258397933</v>
      </c>
      <c r="F43" s="1">
        <f t="shared" si="2"/>
        <v>25.32299741602067</v>
      </c>
      <c r="G43" s="11">
        <f t="shared" si="2"/>
        <v>100</v>
      </c>
      <c r="H43" s="1">
        <f t="shared" si="3"/>
        <v>79.20792079207921</v>
      </c>
      <c r="I43" s="1">
        <f t="shared" si="3"/>
        <v>20.792079207920793</v>
      </c>
      <c r="J43" s="11">
        <f t="shared" si="3"/>
        <v>100</v>
      </c>
      <c r="K43" s="1">
        <f t="shared" si="4"/>
        <v>53.72945638432364</v>
      </c>
      <c r="L43" s="1">
        <f t="shared" si="4"/>
        <v>46.27054361567636</v>
      </c>
      <c r="M43" s="11">
        <f t="shared" si="4"/>
        <v>100</v>
      </c>
      <c r="N43" s="1">
        <f t="shared" si="5"/>
        <v>82.99595141700405</v>
      </c>
      <c r="O43" s="1">
        <f t="shared" si="5"/>
        <v>17.00404858299595</v>
      </c>
      <c r="P43" s="11">
        <f t="shared" si="5"/>
        <v>100</v>
      </c>
      <c r="Q43" s="1">
        <f t="shared" si="6"/>
        <v>71.1038961038961</v>
      </c>
      <c r="R43" s="1">
        <f t="shared" si="6"/>
        <v>28.8961038961039</v>
      </c>
      <c r="S43" s="11">
        <f t="shared" si="6"/>
        <v>100</v>
      </c>
    </row>
    <row r="44" spans="1:19" ht="12.75">
      <c r="A44" s="9">
        <v>1999</v>
      </c>
      <c r="B44" s="1">
        <f t="shared" si="0"/>
        <v>74.70588235294117</v>
      </c>
      <c r="C44" s="1">
        <f t="shared" si="0"/>
        <v>25.294117647058822</v>
      </c>
      <c r="D44" s="11">
        <f t="shared" si="1"/>
        <v>100</v>
      </c>
      <c r="E44" s="1">
        <f t="shared" si="2"/>
        <v>74.10714285714286</v>
      </c>
      <c r="F44" s="1">
        <f t="shared" si="2"/>
        <v>25.892857142857146</v>
      </c>
      <c r="G44" s="11">
        <f t="shared" si="2"/>
        <v>100</v>
      </c>
      <c r="H44" s="1">
        <f t="shared" si="3"/>
        <v>81.40589569160997</v>
      </c>
      <c r="I44" s="1">
        <f t="shared" si="3"/>
        <v>18.594104308390023</v>
      </c>
      <c r="J44" s="11">
        <f t="shared" si="3"/>
        <v>100</v>
      </c>
      <c r="K44" s="1">
        <f t="shared" si="4"/>
        <v>53.23741007194245</v>
      </c>
      <c r="L44" s="1">
        <f t="shared" si="4"/>
        <v>46.76258992805755</v>
      </c>
      <c r="M44" s="11">
        <f t="shared" si="4"/>
        <v>100</v>
      </c>
      <c r="N44" s="1">
        <f t="shared" si="5"/>
        <v>82.71119842829077</v>
      </c>
      <c r="O44" s="1">
        <f t="shared" si="5"/>
        <v>17.288801571709232</v>
      </c>
      <c r="P44" s="11">
        <f t="shared" si="5"/>
        <v>100</v>
      </c>
      <c r="Q44" s="1">
        <f t="shared" si="6"/>
        <v>71.45724608590928</v>
      </c>
      <c r="R44" s="1">
        <f t="shared" si="6"/>
        <v>28.542753914090728</v>
      </c>
      <c r="S44" s="11">
        <f t="shared" si="6"/>
        <v>100</v>
      </c>
    </row>
    <row r="47" spans="1:9" ht="12.75">
      <c r="A47" s="4" t="str">
        <f>CONCATENATE("New Admissions (All Races): ",$A$1)</f>
        <v>New Admissions (All Races): COLORADO</v>
      </c>
      <c r="I47" s="4" t="str">
        <f>CONCATENATE("Percent of Total, New Admissions (All Races): ",$A$1)</f>
        <v>Percent of Total, New Admissions (All Races): COLORADO</v>
      </c>
    </row>
    <row r="48" spans="1:15" s="4" customFormat="1" ht="12.75">
      <c r="A48" s="18" t="s">
        <v>20</v>
      </c>
      <c r="B48" s="14" t="s">
        <v>14</v>
      </c>
      <c r="C48" s="14" t="s">
        <v>15</v>
      </c>
      <c r="D48" s="14" t="s">
        <v>16</v>
      </c>
      <c r="E48" s="14" t="s">
        <v>17</v>
      </c>
      <c r="F48" s="14" t="s">
        <v>18</v>
      </c>
      <c r="G48" s="14" t="s">
        <v>19</v>
      </c>
      <c r="I48" s="18" t="s">
        <v>20</v>
      </c>
      <c r="J48" s="14" t="s">
        <v>14</v>
      </c>
      <c r="K48" s="14" t="s">
        <v>15</v>
      </c>
      <c r="L48" s="14" t="s">
        <v>16</v>
      </c>
      <c r="M48" s="14" t="s">
        <v>17</v>
      </c>
      <c r="N48" s="14" t="s">
        <v>18</v>
      </c>
      <c r="O48" s="14" t="s">
        <v>19</v>
      </c>
    </row>
    <row r="49" spans="1:15" ht="12.75">
      <c r="A49" s="9">
        <v>1983</v>
      </c>
      <c r="B49">
        <v>509</v>
      </c>
      <c r="C49">
        <v>490</v>
      </c>
      <c r="D49">
        <v>260</v>
      </c>
      <c r="E49">
        <v>79</v>
      </c>
      <c r="F49">
        <v>277</v>
      </c>
      <c r="G49">
        <v>1615</v>
      </c>
      <c r="I49" s="9">
        <v>1983</v>
      </c>
      <c r="J49" s="1">
        <f aca="true" t="shared" si="7" ref="J49:J65">(B49/$G49)*100</f>
        <v>31.51702786377709</v>
      </c>
      <c r="K49" s="1">
        <f aca="true" t="shared" si="8" ref="K49:K65">(C49/$G49)*100</f>
        <v>30.340557275541798</v>
      </c>
      <c r="L49" s="1">
        <f aca="true" t="shared" si="9" ref="L49:L65">(D49/$G49)*100</f>
        <v>16.09907120743034</v>
      </c>
      <c r="M49" s="1">
        <f aca="true" t="shared" si="10" ref="M49:M65">(E49/$G49)*100</f>
        <v>4.891640866873065</v>
      </c>
      <c r="N49" s="1">
        <f aca="true" t="shared" si="11" ref="N49:N65">(F49/$G49)*100</f>
        <v>17.151702786377708</v>
      </c>
      <c r="O49">
        <f aca="true" t="shared" si="12" ref="O49:O65">(G49/$G49)*100</f>
        <v>100</v>
      </c>
    </row>
    <row r="50" spans="1:15" ht="12.75">
      <c r="A50" s="9">
        <v>1984</v>
      </c>
      <c r="B50">
        <v>353</v>
      </c>
      <c r="C50">
        <v>401</v>
      </c>
      <c r="D50">
        <v>249</v>
      </c>
      <c r="E50">
        <v>60</v>
      </c>
      <c r="F50">
        <v>216</v>
      </c>
      <c r="G50">
        <v>1279</v>
      </c>
      <c r="I50" s="9">
        <v>1984</v>
      </c>
      <c r="J50" s="1">
        <f t="shared" si="7"/>
        <v>27.599687255668492</v>
      </c>
      <c r="K50" s="1">
        <f t="shared" si="8"/>
        <v>31.352619233776384</v>
      </c>
      <c r="L50" s="1">
        <f t="shared" si="9"/>
        <v>19.468334636434715</v>
      </c>
      <c r="M50" s="1">
        <f t="shared" si="10"/>
        <v>4.691164972634871</v>
      </c>
      <c r="N50" s="1">
        <f t="shared" si="11"/>
        <v>16.888193901485536</v>
      </c>
      <c r="O50">
        <f t="shared" si="12"/>
        <v>100</v>
      </c>
    </row>
    <row r="51" spans="1:15" ht="12.75">
      <c r="A51" s="9">
        <v>1985</v>
      </c>
      <c r="B51">
        <v>479</v>
      </c>
      <c r="C51">
        <v>458</v>
      </c>
      <c r="D51">
        <v>352</v>
      </c>
      <c r="E51">
        <v>107</v>
      </c>
      <c r="F51">
        <v>343</v>
      </c>
      <c r="G51">
        <v>1739</v>
      </c>
      <c r="I51" s="9">
        <v>1985</v>
      </c>
      <c r="J51" s="1">
        <f t="shared" si="7"/>
        <v>27.544565842438185</v>
      </c>
      <c r="K51" s="1">
        <f t="shared" si="8"/>
        <v>26.336975273145484</v>
      </c>
      <c r="L51" s="1">
        <f t="shared" si="9"/>
        <v>20.24151811385854</v>
      </c>
      <c r="M51" s="1">
        <f t="shared" si="10"/>
        <v>6.152961472110408</v>
      </c>
      <c r="N51" s="1">
        <f t="shared" si="11"/>
        <v>19.723979298447382</v>
      </c>
      <c r="O51">
        <f t="shared" si="12"/>
        <v>100</v>
      </c>
    </row>
    <row r="52" spans="1:15" ht="12.75">
      <c r="A52" s="9">
        <v>1986</v>
      </c>
      <c r="B52">
        <v>542</v>
      </c>
      <c r="C52">
        <v>512</v>
      </c>
      <c r="D52">
        <v>366</v>
      </c>
      <c r="E52">
        <v>132</v>
      </c>
      <c r="F52">
        <v>413</v>
      </c>
      <c r="G52">
        <v>1965</v>
      </c>
      <c r="I52" s="9">
        <v>1986</v>
      </c>
      <c r="J52" s="1">
        <f t="shared" si="7"/>
        <v>27.582697201017815</v>
      </c>
      <c r="K52" s="1">
        <f t="shared" si="8"/>
        <v>26.0559796437659</v>
      </c>
      <c r="L52" s="1">
        <f t="shared" si="9"/>
        <v>18.62595419847328</v>
      </c>
      <c r="M52" s="1">
        <f t="shared" si="10"/>
        <v>6.7175572519083975</v>
      </c>
      <c r="N52" s="1">
        <f t="shared" si="11"/>
        <v>21.017811704834603</v>
      </c>
      <c r="O52">
        <f t="shared" si="12"/>
        <v>100</v>
      </c>
    </row>
    <row r="53" spans="1:15" ht="12.75">
      <c r="A53" s="9">
        <v>1987</v>
      </c>
      <c r="B53">
        <v>600</v>
      </c>
      <c r="C53">
        <v>568</v>
      </c>
      <c r="D53">
        <v>406</v>
      </c>
      <c r="E53">
        <v>186</v>
      </c>
      <c r="F53">
        <v>495</v>
      </c>
      <c r="G53">
        <v>2255</v>
      </c>
      <c r="I53" s="9">
        <v>1987</v>
      </c>
      <c r="J53" s="1">
        <f t="shared" si="7"/>
        <v>26.607538802660752</v>
      </c>
      <c r="K53" s="1">
        <f t="shared" si="8"/>
        <v>25.188470066518846</v>
      </c>
      <c r="L53" s="1">
        <f t="shared" si="9"/>
        <v>18.004434589800443</v>
      </c>
      <c r="M53" s="1">
        <f t="shared" si="10"/>
        <v>8.248337028824833</v>
      </c>
      <c r="N53" s="1">
        <f t="shared" si="11"/>
        <v>21.951219512195124</v>
      </c>
      <c r="O53">
        <f t="shared" si="12"/>
        <v>100</v>
      </c>
    </row>
    <row r="54" spans="1:15" ht="12.75">
      <c r="A54" s="9">
        <v>1988</v>
      </c>
      <c r="B54">
        <v>520</v>
      </c>
      <c r="C54">
        <v>478</v>
      </c>
      <c r="D54">
        <v>344</v>
      </c>
      <c r="E54">
        <v>234</v>
      </c>
      <c r="F54">
        <v>471</v>
      </c>
      <c r="G54">
        <v>2047</v>
      </c>
      <c r="I54" s="9">
        <v>1988</v>
      </c>
      <c r="J54" s="1">
        <f t="shared" si="7"/>
        <v>25.403028822667316</v>
      </c>
      <c r="K54" s="1">
        <f t="shared" si="8"/>
        <v>23.35124572545188</v>
      </c>
      <c r="L54" s="1">
        <f t="shared" si="9"/>
        <v>16.805080605764534</v>
      </c>
      <c r="M54" s="1">
        <f t="shared" si="10"/>
        <v>11.431362970200293</v>
      </c>
      <c r="N54" s="1">
        <f t="shared" si="11"/>
        <v>23.009281875915974</v>
      </c>
      <c r="O54">
        <f t="shared" si="12"/>
        <v>100</v>
      </c>
    </row>
    <row r="55" spans="1:15" ht="12.75">
      <c r="A55" s="9">
        <v>1989</v>
      </c>
      <c r="B55">
        <v>623</v>
      </c>
      <c r="C55">
        <v>607</v>
      </c>
      <c r="D55">
        <v>419</v>
      </c>
      <c r="E55">
        <v>424</v>
      </c>
      <c r="F55">
        <v>588</v>
      </c>
      <c r="G55">
        <v>2661</v>
      </c>
      <c r="I55" s="9">
        <v>1989</v>
      </c>
      <c r="J55" s="1">
        <f t="shared" si="7"/>
        <v>23.412251033446076</v>
      </c>
      <c r="K55" s="1">
        <f t="shared" si="8"/>
        <v>22.81097331830139</v>
      </c>
      <c r="L55" s="1">
        <f t="shared" si="9"/>
        <v>15.745960165351372</v>
      </c>
      <c r="M55" s="1">
        <f t="shared" si="10"/>
        <v>15.933859451334085</v>
      </c>
      <c r="N55" s="1">
        <f t="shared" si="11"/>
        <v>22.096956031567082</v>
      </c>
      <c r="O55">
        <f t="shared" si="12"/>
        <v>100</v>
      </c>
    </row>
    <row r="56" spans="1:15" ht="12.75">
      <c r="A56" s="9">
        <v>1990</v>
      </c>
      <c r="B56">
        <v>536</v>
      </c>
      <c r="C56">
        <v>424</v>
      </c>
      <c r="D56">
        <v>364</v>
      </c>
      <c r="E56">
        <v>378</v>
      </c>
      <c r="F56">
        <v>578</v>
      </c>
      <c r="G56">
        <v>2280</v>
      </c>
      <c r="I56" s="9">
        <v>1990</v>
      </c>
      <c r="J56" s="1">
        <f t="shared" si="7"/>
        <v>23.50877192982456</v>
      </c>
      <c r="K56" s="1">
        <f t="shared" si="8"/>
        <v>18.596491228070175</v>
      </c>
      <c r="L56" s="1">
        <f t="shared" si="9"/>
        <v>15.964912280701753</v>
      </c>
      <c r="M56" s="1">
        <f t="shared" si="10"/>
        <v>16.57894736842105</v>
      </c>
      <c r="N56" s="1">
        <f t="shared" si="11"/>
        <v>25.35087719298246</v>
      </c>
      <c r="O56">
        <f t="shared" si="12"/>
        <v>100</v>
      </c>
    </row>
    <row r="57" spans="1:15" ht="12.75">
      <c r="A57" s="9">
        <v>1991</v>
      </c>
      <c r="B57">
        <v>644</v>
      </c>
      <c r="C57">
        <v>421</v>
      </c>
      <c r="D57">
        <v>413</v>
      </c>
      <c r="E57">
        <v>362</v>
      </c>
      <c r="F57">
        <v>572</v>
      </c>
      <c r="G57">
        <v>2412</v>
      </c>
      <c r="I57" s="9">
        <v>1991</v>
      </c>
      <c r="J57" s="1">
        <f t="shared" si="7"/>
        <v>26.69983416252073</v>
      </c>
      <c r="K57" s="1">
        <f t="shared" si="8"/>
        <v>17.454394693200666</v>
      </c>
      <c r="L57" s="1">
        <f t="shared" si="9"/>
        <v>17.122719734660034</v>
      </c>
      <c r="M57" s="1">
        <f t="shared" si="10"/>
        <v>15.008291873963516</v>
      </c>
      <c r="N57" s="1">
        <f t="shared" si="11"/>
        <v>23.71475953565506</v>
      </c>
      <c r="O57">
        <f t="shared" si="12"/>
        <v>100</v>
      </c>
    </row>
    <row r="58" spans="1:15" ht="12.75">
      <c r="A58" s="9">
        <v>1992</v>
      </c>
      <c r="B58">
        <v>560</v>
      </c>
      <c r="C58">
        <v>419</v>
      </c>
      <c r="D58">
        <v>496</v>
      </c>
      <c r="E58">
        <v>465</v>
      </c>
      <c r="F58">
        <v>862</v>
      </c>
      <c r="G58">
        <v>2802</v>
      </c>
      <c r="I58" s="9">
        <v>1992</v>
      </c>
      <c r="J58" s="1">
        <f t="shared" si="7"/>
        <v>19.98572448251249</v>
      </c>
      <c r="K58" s="1">
        <f t="shared" si="8"/>
        <v>14.953604568165597</v>
      </c>
      <c r="L58" s="1">
        <f t="shared" si="9"/>
        <v>17.701641684511063</v>
      </c>
      <c r="M58" s="1">
        <f t="shared" si="10"/>
        <v>16.595289079229122</v>
      </c>
      <c r="N58" s="1">
        <f t="shared" si="11"/>
        <v>30.763740185581728</v>
      </c>
      <c r="O58">
        <f t="shared" si="12"/>
        <v>100</v>
      </c>
    </row>
    <row r="59" spans="1:15" ht="12.75">
      <c r="A59" s="9">
        <v>1993</v>
      </c>
      <c r="B59">
        <v>626</v>
      </c>
      <c r="C59">
        <v>412</v>
      </c>
      <c r="D59">
        <v>466</v>
      </c>
      <c r="E59">
        <v>475</v>
      </c>
      <c r="F59">
        <v>900</v>
      </c>
      <c r="G59">
        <v>2879</v>
      </c>
      <c r="I59" s="9">
        <v>1993</v>
      </c>
      <c r="J59" s="1">
        <f t="shared" si="7"/>
        <v>21.74366099340049</v>
      </c>
      <c r="K59" s="1">
        <f t="shared" si="8"/>
        <v>14.31052448766933</v>
      </c>
      <c r="L59" s="1">
        <f t="shared" si="9"/>
        <v>16.18617575547065</v>
      </c>
      <c r="M59" s="1">
        <f t="shared" si="10"/>
        <v>16.4987843001042</v>
      </c>
      <c r="N59" s="1">
        <f t="shared" si="11"/>
        <v>31.26085446335533</v>
      </c>
      <c r="O59">
        <f t="shared" si="12"/>
        <v>100</v>
      </c>
    </row>
    <row r="60" spans="1:15" ht="12.75">
      <c r="A60" s="9">
        <v>1994</v>
      </c>
      <c r="B60">
        <v>689</v>
      </c>
      <c r="C60">
        <v>384</v>
      </c>
      <c r="D60">
        <v>430</v>
      </c>
      <c r="E60">
        <v>591</v>
      </c>
      <c r="F60">
        <v>913</v>
      </c>
      <c r="G60">
        <v>3007</v>
      </c>
      <c r="I60" s="9">
        <v>1994</v>
      </c>
      <c r="J60" s="1">
        <f t="shared" si="7"/>
        <v>22.913202527435985</v>
      </c>
      <c r="K60" s="1">
        <f t="shared" si="8"/>
        <v>12.770202859993349</v>
      </c>
      <c r="L60" s="1">
        <f t="shared" si="9"/>
        <v>14.299966744263385</v>
      </c>
      <c r="M60" s="1">
        <f t="shared" si="10"/>
        <v>19.654140339208514</v>
      </c>
      <c r="N60" s="1">
        <f t="shared" si="11"/>
        <v>30.362487529098768</v>
      </c>
      <c r="O60">
        <f t="shared" si="12"/>
        <v>100</v>
      </c>
    </row>
    <row r="61" spans="1:15" ht="12.75">
      <c r="A61" s="9">
        <v>1995</v>
      </c>
      <c r="B61">
        <v>795</v>
      </c>
      <c r="C61">
        <v>434</v>
      </c>
      <c r="D61">
        <v>465</v>
      </c>
      <c r="E61">
        <v>794</v>
      </c>
      <c r="F61">
        <v>992</v>
      </c>
      <c r="G61">
        <v>3480</v>
      </c>
      <c r="I61" s="9">
        <v>1995</v>
      </c>
      <c r="J61" s="1">
        <f t="shared" si="7"/>
        <v>22.844827586206897</v>
      </c>
      <c r="K61" s="1">
        <f t="shared" si="8"/>
        <v>12.471264367816092</v>
      </c>
      <c r="L61" s="1">
        <f t="shared" si="9"/>
        <v>13.36206896551724</v>
      </c>
      <c r="M61" s="1">
        <f t="shared" si="10"/>
        <v>22.816091954022987</v>
      </c>
      <c r="N61" s="1">
        <f t="shared" si="11"/>
        <v>28.50574712643678</v>
      </c>
      <c r="O61">
        <f t="shared" si="12"/>
        <v>100</v>
      </c>
    </row>
    <row r="62" spans="1:15" ht="12.75">
      <c r="A62" s="9">
        <v>1996</v>
      </c>
      <c r="B62">
        <v>895</v>
      </c>
      <c r="C62">
        <v>515</v>
      </c>
      <c r="D62">
        <v>522</v>
      </c>
      <c r="E62">
        <v>967</v>
      </c>
      <c r="F62">
        <v>953</v>
      </c>
      <c r="G62">
        <v>3852</v>
      </c>
      <c r="I62" s="9">
        <v>1996</v>
      </c>
      <c r="J62" s="1">
        <f t="shared" si="7"/>
        <v>23.234683281412252</v>
      </c>
      <c r="K62" s="1">
        <f t="shared" si="8"/>
        <v>13.369678089304257</v>
      </c>
      <c r="L62" s="1">
        <f t="shared" si="9"/>
        <v>13.551401869158877</v>
      </c>
      <c r="M62" s="1">
        <f t="shared" si="10"/>
        <v>25.10384215991693</v>
      </c>
      <c r="N62" s="1">
        <f t="shared" si="11"/>
        <v>24.740394600207686</v>
      </c>
      <c r="O62">
        <f t="shared" si="12"/>
        <v>100</v>
      </c>
    </row>
    <row r="63" spans="1:15" ht="12.75">
      <c r="A63" s="9">
        <v>1997</v>
      </c>
      <c r="B63">
        <v>832</v>
      </c>
      <c r="C63">
        <v>517</v>
      </c>
      <c r="D63">
        <v>653</v>
      </c>
      <c r="E63">
        <v>1073</v>
      </c>
      <c r="F63">
        <v>797</v>
      </c>
      <c r="G63">
        <v>3872</v>
      </c>
      <c r="I63" s="9">
        <v>1997</v>
      </c>
      <c r="J63" s="1">
        <f t="shared" si="7"/>
        <v>21.487603305785125</v>
      </c>
      <c r="K63" s="1">
        <f t="shared" si="8"/>
        <v>13.352272727272727</v>
      </c>
      <c r="L63" s="1">
        <f t="shared" si="9"/>
        <v>16.8646694214876</v>
      </c>
      <c r="M63" s="1">
        <f t="shared" si="10"/>
        <v>27.711776859504134</v>
      </c>
      <c r="N63" s="1">
        <f t="shared" si="11"/>
        <v>20.583677685950413</v>
      </c>
      <c r="O63">
        <f t="shared" si="12"/>
        <v>100</v>
      </c>
    </row>
    <row r="64" spans="1:15" ht="12.75">
      <c r="A64" s="9">
        <v>1998</v>
      </c>
      <c r="B64">
        <v>884</v>
      </c>
      <c r="C64">
        <v>565</v>
      </c>
      <c r="D64">
        <v>647</v>
      </c>
      <c r="E64">
        <v>1199</v>
      </c>
      <c r="F64">
        <v>805</v>
      </c>
      <c r="G64">
        <v>4100</v>
      </c>
      <c r="I64" s="9">
        <v>1998</v>
      </c>
      <c r="J64" s="1">
        <f t="shared" si="7"/>
        <v>21.5609756097561</v>
      </c>
      <c r="K64" s="1">
        <f t="shared" si="8"/>
        <v>13.78048780487805</v>
      </c>
      <c r="L64" s="1">
        <f t="shared" si="9"/>
        <v>15.78048780487805</v>
      </c>
      <c r="M64" s="1">
        <f t="shared" si="10"/>
        <v>29.24390243902439</v>
      </c>
      <c r="N64" s="1">
        <f t="shared" si="11"/>
        <v>19.634146341463417</v>
      </c>
      <c r="O64">
        <f t="shared" si="12"/>
        <v>100</v>
      </c>
    </row>
    <row r="65" spans="1:15" ht="12.75">
      <c r="A65" s="9">
        <v>1999</v>
      </c>
      <c r="B65">
        <v>832</v>
      </c>
      <c r="C65">
        <v>502</v>
      </c>
      <c r="D65">
        <v>566</v>
      </c>
      <c r="E65">
        <v>1051</v>
      </c>
      <c r="F65">
        <v>793</v>
      </c>
      <c r="G65">
        <v>3744</v>
      </c>
      <c r="I65" s="9">
        <v>1999</v>
      </c>
      <c r="J65" s="1">
        <f t="shared" si="7"/>
        <v>22.22222222222222</v>
      </c>
      <c r="K65" s="1">
        <f t="shared" si="8"/>
        <v>13.408119658119658</v>
      </c>
      <c r="L65" s="1">
        <f t="shared" si="9"/>
        <v>15.117521367521366</v>
      </c>
      <c r="M65" s="1">
        <f t="shared" si="10"/>
        <v>28.071581196581196</v>
      </c>
      <c r="N65" s="1">
        <f t="shared" si="11"/>
        <v>21.180555555555554</v>
      </c>
      <c r="O65">
        <f t="shared" si="12"/>
        <v>100</v>
      </c>
    </row>
    <row r="66" spans="1:14" ht="12.75">
      <c r="A66" t="s">
        <v>34</v>
      </c>
      <c r="J66" s="1"/>
      <c r="K66" s="1"/>
      <c r="L66" s="1"/>
      <c r="M66" s="1"/>
      <c r="N66" s="1"/>
    </row>
    <row r="67" spans="10:14" ht="12.75">
      <c r="J67" s="1"/>
      <c r="K67" s="1"/>
      <c r="L67" s="1"/>
      <c r="M67" s="1"/>
      <c r="N67" s="1"/>
    </row>
    <row r="68" spans="1:9" ht="12.75">
      <c r="A68" s="4" t="str">
        <f>CONCATENATE("White New Admissions: ",$A$1)</f>
        <v>White New Admissions: COLORADO</v>
      </c>
      <c r="I68" s="4" t="str">
        <f>CONCATENATE("Black New Admissions: ",$A$1)</f>
        <v>Black New Admissions: COLORADO</v>
      </c>
    </row>
    <row r="69" spans="1:15" s="4" customFormat="1" ht="12.75">
      <c r="A69" s="18" t="s">
        <v>20</v>
      </c>
      <c r="B69" s="14" t="s">
        <v>14</v>
      </c>
      <c r="C69" s="14" t="s">
        <v>15</v>
      </c>
      <c r="D69" s="14" t="s">
        <v>16</v>
      </c>
      <c r="E69" s="14" t="s">
        <v>17</v>
      </c>
      <c r="F69" s="14" t="s">
        <v>18</v>
      </c>
      <c r="G69" s="14" t="s">
        <v>19</v>
      </c>
      <c r="I69" s="18" t="s">
        <v>20</v>
      </c>
      <c r="J69" s="14" t="s">
        <v>14</v>
      </c>
      <c r="K69" s="14" t="s">
        <v>15</v>
      </c>
      <c r="L69" s="14" t="s">
        <v>16</v>
      </c>
      <c r="M69" s="14" t="s">
        <v>17</v>
      </c>
      <c r="N69" s="14" t="s">
        <v>18</v>
      </c>
      <c r="O69" s="14" t="s">
        <v>19</v>
      </c>
    </row>
    <row r="70" spans="1:15" ht="12.75">
      <c r="A70" s="9">
        <v>1983</v>
      </c>
      <c r="B70">
        <v>277</v>
      </c>
      <c r="C70">
        <v>286</v>
      </c>
      <c r="D70">
        <v>155</v>
      </c>
      <c r="E70">
        <v>52</v>
      </c>
      <c r="F70">
        <v>146</v>
      </c>
      <c r="G70">
        <v>916</v>
      </c>
      <c r="I70" s="9">
        <v>1983</v>
      </c>
      <c r="J70">
        <v>90</v>
      </c>
      <c r="K70">
        <v>77</v>
      </c>
      <c r="L70">
        <v>52</v>
      </c>
      <c r="M70">
        <v>13</v>
      </c>
      <c r="N70">
        <v>56</v>
      </c>
      <c r="O70">
        <v>288</v>
      </c>
    </row>
    <row r="71" spans="1:15" ht="12.75">
      <c r="A71" s="9">
        <v>1984</v>
      </c>
      <c r="B71">
        <v>198</v>
      </c>
      <c r="C71">
        <v>229</v>
      </c>
      <c r="D71">
        <v>173</v>
      </c>
      <c r="E71">
        <v>33</v>
      </c>
      <c r="F71">
        <v>122</v>
      </c>
      <c r="G71">
        <v>755</v>
      </c>
      <c r="I71" s="9">
        <v>1984</v>
      </c>
      <c r="J71">
        <v>49</v>
      </c>
      <c r="K71">
        <v>75</v>
      </c>
      <c r="L71">
        <v>41</v>
      </c>
      <c r="M71">
        <v>13</v>
      </c>
      <c r="N71">
        <v>42</v>
      </c>
      <c r="O71">
        <v>220</v>
      </c>
    </row>
    <row r="72" spans="1:15" ht="12.75">
      <c r="A72" s="9">
        <v>1985</v>
      </c>
      <c r="B72">
        <v>259</v>
      </c>
      <c r="C72">
        <v>253</v>
      </c>
      <c r="D72">
        <v>223</v>
      </c>
      <c r="E72">
        <v>69</v>
      </c>
      <c r="F72">
        <v>186</v>
      </c>
      <c r="G72">
        <v>990</v>
      </c>
      <c r="I72" s="9">
        <v>1985</v>
      </c>
      <c r="J72">
        <v>98</v>
      </c>
      <c r="K72">
        <v>77</v>
      </c>
      <c r="L72">
        <v>59</v>
      </c>
      <c r="M72">
        <v>16</v>
      </c>
      <c r="N72">
        <v>66</v>
      </c>
      <c r="O72">
        <v>316</v>
      </c>
    </row>
    <row r="73" spans="1:15" ht="12.75">
      <c r="A73" s="9">
        <v>1986</v>
      </c>
      <c r="B73">
        <v>319</v>
      </c>
      <c r="C73">
        <v>250</v>
      </c>
      <c r="D73">
        <v>230</v>
      </c>
      <c r="E73">
        <v>85</v>
      </c>
      <c r="F73">
        <v>220</v>
      </c>
      <c r="G73">
        <v>1104</v>
      </c>
      <c r="I73" s="9">
        <v>1986</v>
      </c>
      <c r="J73">
        <v>88</v>
      </c>
      <c r="K73">
        <v>116</v>
      </c>
      <c r="L73">
        <v>81</v>
      </c>
      <c r="M73">
        <v>20</v>
      </c>
      <c r="N73">
        <v>84</v>
      </c>
      <c r="O73">
        <v>389</v>
      </c>
    </row>
    <row r="74" spans="1:15" ht="12.75">
      <c r="A74" s="9">
        <v>1987</v>
      </c>
      <c r="B74">
        <v>316</v>
      </c>
      <c r="C74">
        <v>290</v>
      </c>
      <c r="D74">
        <v>249</v>
      </c>
      <c r="E74">
        <v>110</v>
      </c>
      <c r="F74">
        <v>268</v>
      </c>
      <c r="G74">
        <v>1233</v>
      </c>
      <c r="I74" s="9">
        <v>1987</v>
      </c>
      <c r="J74">
        <v>110</v>
      </c>
      <c r="K74">
        <v>144</v>
      </c>
      <c r="L74">
        <v>78</v>
      </c>
      <c r="M74">
        <v>36</v>
      </c>
      <c r="N74">
        <v>88</v>
      </c>
      <c r="O74">
        <v>456</v>
      </c>
    </row>
    <row r="75" spans="1:15" ht="12.75">
      <c r="A75" s="9">
        <v>1988</v>
      </c>
      <c r="B75">
        <v>254</v>
      </c>
      <c r="C75">
        <v>235</v>
      </c>
      <c r="D75">
        <v>207</v>
      </c>
      <c r="E75">
        <v>110</v>
      </c>
      <c r="F75">
        <v>256</v>
      </c>
      <c r="G75">
        <v>1062</v>
      </c>
      <c r="I75" s="9">
        <v>1988</v>
      </c>
      <c r="J75">
        <v>107</v>
      </c>
      <c r="K75">
        <v>112</v>
      </c>
      <c r="L75">
        <v>76</v>
      </c>
      <c r="M75">
        <v>65</v>
      </c>
      <c r="N75">
        <v>87</v>
      </c>
      <c r="O75">
        <v>447</v>
      </c>
    </row>
    <row r="76" spans="1:15" ht="12.75">
      <c r="A76" s="9">
        <v>1989</v>
      </c>
      <c r="B76">
        <v>301</v>
      </c>
      <c r="C76">
        <v>288</v>
      </c>
      <c r="D76">
        <v>254</v>
      </c>
      <c r="E76">
        <v>182</v>
      </c>
      <c r="F76">
        <v>329</v>
      </c>
      <c r="G76">
        <v>1354</v>
      </c>
      <c r="I76" s="9">
        <v>1989</v>
      </c>
      <c r="J76">
        <v>151</v>
      </c>
      <c r="K76">
        <v>153</v>
      </c>
      <c r="L76">
        <v>89</v>
      </c>
      <c r="M76">
        <v>136</v>
      </c>
      <c r="N76">
        <v>117</v>
      </c>
      <c r="O76">
        <v>646</v>
      </c>
    </row>
    <row r="77" spans="1:15" ht="12.75">
      <c r="A77" s="9">
        <v>1990</v>
      </c>
      <c r="B77">
        <v>286</v>
      </c>
      <c r="C77">
        <v>216</v>
      </c>
      <c r="D77">
        <v>208</v>
      </c>
      <c r="E77">
        <v>141</v>
      </c>
      <c r="F77">
        <v>310</v>
      </c>
      <c r="G77">
        <v>1161</v>
      </c>
      <c r="I77" s="9">
        <v>1990</v>
      </c>
      <c r="J77">
        <v>106</v>
      </c>
      <c r="K77">
        <v>96</v>
      </c>
      <c r="L77">
        <v>76</v>
      </c>
      <c r="M77">
        <v>114</v>
      </c>
      <c r="N77">
        <v>110</v>
      </c>
      <c r="O77">
        <v>502</v>
      </c>
    </row>
    <row r="78" spans="1:15" ht="12.75">
      <c r="A78" s="9">
        <v>1991</v>
      </c>
      <c r="B78">
        <v>291</v>
      </c>
      <c r="C78">
        <v>188</v>
      </c>
      <c r="D78">
        <v>246</v>
      </c>
      <c r="E78">
        <v>142</v>
      </c>
      <c r="F78">
        <v>294</v>
      </c>
      <c r="G78">
        <v>1161</v>
      </c>
      <c r="I78" s="9">
        <v>1991</v>
      </c>
      <c r="J78">
        <v>147</v>
      </c>
      <c r="K78">
        <v>101</v>
      </c>
      <c r="L78">
        <v>89</v>
      </c>
      <c r="M78">
        <v>97</v>
      </c>
      <c r="N78">
        <v>122</v>
      </c>
      <c r="O78">
        <v>556</v>
      </c>
    </row>
    <row r="79" spans="1:15" ht="12.75">
      <c r="A79" s="9">
        <v>1992</v>
      </c>
      <c r="B79">
        <v>258</v>
      </c>
      <c r="C79">
        <v>226</v>
      </c>
      <c r="D79">
        <v>312</v>
      </c>
      <c r="E79">
        <v>156</v>
      </c>
      <c r="F79">
        <v>412</v>
      </c>
      <c r="G79">
        <v>1364</v>
      </c>
      <c r="I79" s="9">
        <v>1992</v>
      </c>
      <c r="J79">
        <v>133</v>
      </c>
      <c r="K79">
        <v>80</v>
      </c>
      <c r="L79">
        <v>87</v>
      </c>
      <c r="M79">
        <v>165</v>
      </c>
      <c r="N79">
        <v>174</v>
      </c>
      <c r="O79">
        <v>639</v>
      </c>
    </row>
    <row r="80" spans="1:15" ht="12.75">
      <c r="A80" s="9">
        <v>1993</v>
      </c>
      <c r="B80">
        <v>302</v>
      </c>
      <c r="C80">
        <v>198</v>
      </c>
      <c r="D80">
        <v>276</v>
      </c>
      <c r="E80">
        <v>156</v>
      </c>
      <c r="F80">
        <v>422</v>
      </c>
      <c r="G80">
        <v>1354</v>
      </c>
      <c r="I80" s="9">
        <v>1993</v>
      </c>
      <c r="J80">
        <v>134</v>
      </c>
      <c r="K80">
        <v>85</v>
      </c>
      <c r="L80">
        <v>83</v>
      </c>
      <c r="M80">
        <v>185</v>
      </c>
      <c r="N80">
        <v>213</v>
      </c>
      <c r="O80">
        <v>700</v>
      </c>
    </row>
    <row r="81" spans="1:15" ht="12.75">
      <c r="A81" s="9">
        <v>1994</v>
      </c>
      <c r="B81">
        <v>285</v>
      </c>
      <c r="C81">
        <v>172</v>
      </c>
      <c r="D81">
        <v>255</v>
      </c>
      <c r="E81">
        <v>165</v>
      </c>
      <c r="F81">
        <v>420</v>
      </c>
      <c r="G81">
        <v>1297</v>
      </c>
      <c r="I81" s="9">
        <v>1994</v>
      </c>
      <c r="J81">
        <v>147</v>
      </c>
      <c r="K81">
        <v>106</v>
      </c>
      <c r="L81">
        <v>75</v>
      </c>
      <c r="M81">
        <v>226</v>
      </c>
      <c r="N81">
        <v>191</v>
      </c>
      <c r="O81">
        <v>745</v>
      </c>
    </row>
    <row r="82" spans="1:15" ht="12.75">
      <c r="A82" s="9">
        <v>1995</v>
      </c>
      <c r="B82">
        <v>324</v>
      </c>
      <c r="C82">
        <v>194</v>
      </c>
      <c r="D82">
        <v>274</v>
      </c>
      <c r="E82">
        <v>194</v>
      </c>
      <c r="F82">
        <v>466</v>
      </c>
      <c r="G82">
        <v>1452</v>
      </c>
      <c r="I82" s="9">
        <v>1995</v>
      </c>
      <c r="J82">
        <v>180</v>
      </c>
      <c r="K82">
        <v>112</v>
      </c>
      <c r="L82">
        <v>95</v>
      </c>
      <c r="M82">
        <v>271</v>
      </c>
      <c r="N82">
        <v>192</v>
      </c>
      <c r="O82">
        <v>850</v>
      </c>
    </row>
    <row r="83" spans="1:15" ht="12.75">
      <c r="A83" s="9">
        <v>1996</v>
      </c>
      <c r="B83">
        <v>388</v>
      </c>
      <c r="C83">
        <v>255</v>
      </c>
      <c r="D83">
        <v>305</v>
      </c>
      <c r="E83">
        <v>269</v>
      </c>
      <c r="F83">
        <v>464</v>
      </c>
      <c r="G83">
        <v>1681</v>
      </c>
      <c r="I83" s="9">
        <v>1996</v>
      </c>
      <c r="J83">
        <v>185</v>
      </c>
      <c r="K83">
        <v>114</v>
      </c>
      <c r="L83">
        <v>102</v>
      </c>
      <c r="M83">
        <v>308</v>
      </c>
      <c r="N83">
        <v>150</v>
      </c>
      <c r="O83">
        <v>859</v>
      </c>
    </row>
    <row r="84" spans="1:15" ht="12.75">
      <c r="A84" s="9">
        <v>1997</v>
      </c>
      <c r="B84">
        <v>404</v>
      </c>
      <c r="C84">
        <v>232</v>
      </c>
      <c r="D84">
        <v>384</v>
      </c>
      <c r="E84">
        <v>322</v>
      </c>
      <c r="F84">
        <v>371</v>
      </c>
      <c r="G84">
        <v>1713</v>
      </c>
      <c r="I84" s="9">
        <v>1997</v>
      </c>
      <c r="J84">
        <v>132</v>
      </c>
      <c r="K84">
        <v>111</v>
      </c>
      <c r="L84">
        <v>123</v>
      </c>
      <c r="M84">
        <v>411</v>
      </c>
      <c r="N84">
        <v>97</v>
      </c>
      <c r="O84">
        <v>874</v>
      </c>
    </row>
    <row r="85" spans="1:15" ht="12.75">
      <c r="A85" s="9">
        <v>1998</v>
      </c>
      <c r="B85">
        <v>447</v>
      </c>
      <c r="C85">
        <v>289</v>
      </c>
      <c r="D85">
        <v>400</v>
      </c>
      <c r="E85">
        <v>425</v>
      </c>
      <c r="F85">
        <v>410</v>
      </c>
      <c r="G85">
        <v>1971</v>
      </c>
      <c r="I85" s="9">
        <v>1998</v>
      </c>
      <c r="J85">
        <v>148</v>
      </c>
      <c r="K85">
        <v>98</v>
      </c>
      <c r="L85">
        <v>105</v>
      </c>
      <c r="M85">
        <v>366</v>
      </c>
      <c r="N85">
        <v>84</v>
      </c>
      <c r="O85">
        <v>801</v>
      </c>
    </row>
    <row r="86" spans="1:15" ht="12.75">
      <c r="A86" s="9">
        <v>1999</v>
      </c>
      <c r="B86">
        <v>381</v>
      </c>
      <c r="C86">
        <v>249</v>
      </c>
      <c r="D86">
        <v>359</v>
      </c>
      <c r="E86">
        <v>370</v>
      </c>
      <c r="F86">
        <v>421</v>
      </c>
      <c r="G86">
        <v>1780</v>
      </c>
      <c r="I86" s="9">
        <v>1999</v>
      </c>
      <c r="J86">
        <v>129</v>
      </c>
      <c r="K86">
        <v>87</v>
      </c>
      <c r="L86">
        <v>82</v>
      </c>
      <c r="M86">
        <v>325</v>
      </c>
      <c r="N86">
        <v>88</v>
      </c>
      <c r="O86">
        <v>711</v>
      </c>
    </row>
    <row r="88" spans="1:9" ht="12.75">
      <c r="A88" s="4" t="str">
        <f>CONCATENATE("Percent of Total Offenses, White New Admissions: ",$A$1)</f>
        <v>Percent of Total Offenses, White New Admissions: COLORADO</v>
      </c>
      <c r="I88" s="4" t="str">
        <f>CONCATENATE("Percent of Total Offenses, Black New Admissions: ",$A$1)</f>
        <v>Percent of Total Offenses, Black New Admissions: COLORADO</v>
      </c>
    </row>
    <row r="89" spans="1:15" s="4" customFormat="1" ht="12.75">
      <c r="A89" s="18" t="s">
        <v>20</v>
      </c>
      <c r="B89" s="14" t="s">
        <v>14</v>
      </c>
      <c r="C89" s="14" t="s">
        <v>15</v>
      </c>
      <c r="D89" s="14" t="s">
        <v>16</v>
      </c>
      <c r="E89" s="14" t="s">
        <v>17</v>
      </c>
      <c r="F89" s="14" t="s">
        <v>18</v>
      </c>
      <c r="G89" s="14" t="s">
        <v>19</v>
      </c>
      <c r="I89" s="18" t="s">
        <v>20</v>
      </c>
      <c r="J89" s="14" t="s">
        <v>14</v>
      </c>
      <c r="K89" s="14" t="s">
        <v>15</v>
      </c>
      <c r="L89" s="14" t="s">
        <v>16</v>
      </c>
      <c r="M89" s="14" t="s">
        <v>17</v>
      </c>
      <c r="N89" s="14" t="s">
        <v>18</v>
      </c>
      <c r="O89" s="14" t="s">
        <v>19</v>
      </c>
    </row>
    <row r="90" spans="1:15" ht="12.75">
      <c r="A90" s="9">
        <v>1983</v>
      </c>
      <c r="B90" s="1">
        <f aca="true" t="shared" si="13" ref="B90:G90">(B70/$G70)*100</f>
        <v>30.240174672489083</v>
      </c>
      <c r="C90" s="1">
        <f t="shared" si="13"/>
        <v>31.222707423580786</v>
      </c>
      <c r="D90" s="1">
        <f t="shared" si="13"/>
        <v>16.921397379912666</v>
      </c>
      <c r="E90" s="1">
        <f t="shared" si="13"/>
        <v>5.676855895196507</v>
      </c>
      <c r="F90" s="1">
        <f t="shared" si="13"/>
        <v>15.938864628820962</v>
      </c>
      <c r="G90" s="1">
        <f t="shared" si="13"/>
        <v>100</v>
      </c>
      <c r="I90" s="9">
        <v>1983</v>
      </c>
      <c r="J90" s="1">
        <f aca="true" t="shared" si="14" ref="J90:O104">(J70/$O70)*100</f>
        <v>31.25</v>
      </c>
      <c r="K90" s="1">
        <f t="shared" si="14"/>
        <v>26.73611111111111</v>
      </c>
      <c r="L90" s="1">
        <f t="shared" si="14"/>
        <v>18.055555555555554</v>
      </c>
      <c r="M90" s="1">
        <f t="shared" si="14"/>
        <v>4.513888888888888</v>
      </c>
      <c r="N90" s="1">
        <f t="shared" si="14"/>
        <v>19.444444444444446</v>
      </c>
      <c r="O90" s="1">
        <f t="shared" si="14"/>
        <v>100</v>
      </c>
    </row>
    <row r="91" spans="1:15" ht="12.75">
      <c r="A91" s="9">
        <v>1984</v>
      </c>
      <c r="B91" s="1">
        <f aca="true" t="shared" si="15" ref="B91:G106">(B71/$G71)*100</f>
        <v>26.225165562913904</v>
      </c>
      <c r="C91" s="1">
        <f t="shared" si="15"/>
        <v>30.33112582781457</v>
      </c>
      <c r="D91" s="1">
        <f t="shared" si="15"/>
        <v>22.91390728476821</v>
      </c>
      <c r="E91" s="1">
        <f t="shared" si="15"/>
        <v>4.370860927152318</v>
      </c>
      <c r="F91" s="1">
        <f t="shared" si="15"/>
        <v>16.158940397350992</v>
      </c>
      <c r="G91" s="1">
        <f t="shared" si="15"/>
        <v>100</v>
      </c>
      <c r="I91" s="9">
        <v>1984</v>
      </c>
      <c r="J91" s="1">
        <f t="shared" si="14"/>
        <v>22.272727272727273</v>
      </c>
      <c r="K91" s="1">
        <f t="shared" si="14"/>
        <v>34.090909090909086</v>
      </c>
      <c r="L91" s="1">
        <f t="shared" si="14"/>
        <v>18.636363636363637</v>
      </c>
      <c r="M91" s="1">
        <f t="shared" si="14"/>
        <v>5.909090909090909</v>
      </c>
      <c r="N91" s="1">
        <f t="shared" si="14"/>
        <v>19.090909090909093</v>
      </c>
      <c r="O91" s="1">
        <f t="shared" si="14"/>
        <v>100</v>
      </c>
    </row>
    <row r="92" spans="1:15" ht="12.75">
      <c r="A92" s="9">
        <v>1985</v>
      </c>
      <c r="B92" s="1">
        <f t="shared" si="15"/>
        <v>26.161616161616163</v>
      </c>
      <c r="C92" s="1">
        <f t="shared" si="15"/>
        <v>25.555555555555554</v>
      </c>
      <c r="D92" s="1">
        <f t="shared" si="15"/>
        <v>22.525252525252526</v>
      </c>
      <c r="E92" s="1">
        <f t="shared" si="15"/>
        <v>6.969696969696971</v>
      </c>
      <c r="F92" s="1">
        <f t="shared" si="15"/>
        <v>18.787878787878785</v>
      </c>
      <c r="G92" s="1">
        <f t="shared" si="15"/>
        <v>100</v>
      </c>
      <c r="I92" s="9">
        <v>1985</v>
      </c>
      <c r="J92" s="1">
        <f t="shared" si="14"/>
        <v>31.0126582278481</v>
      </c>
      <c r="K92" s="1">
        <f t="shared" si="14"/>
        <v>24.367088607594937</v>
      </c>
      <c r="L92" s="1">
        <f t="shared" si="14"/>
        <v>18.670886075949365</v>
      </c>
      <c r="M92" s="1">
        <f t="shared" si="14"/>
        <v>5.063291139240507</v>
      </c>
      <c r="N92" s="1">
        <f t="shared" si="14"/>
        <v>20.88607594936709</v>
      </c>
      <c r="O92" s="1">
        <f t="shared" si="14"/>
        <v>100</v>
      </c>
    </row>
    <row r="93" spans="1:15" ht="12.75">
      <c r="A93" s="9">
        <v>1986</v>
      </c>
      <c r="B93" s="1">
        <f t="shared" si="15"/>
        <v>28.894927536231883</v>
      </c>
      <c r="C93" s="1">
        <f t="shared" si="15"/>
        <v>22.644927536231883</v>
      </c>
      <c r="D93" s="1">
        <f t="shared" si="15"/>
        <v>20.833333333333336</v>
      </c>
      <c r="E93" s="1">
        <f t="shared" si="15"/>
        <v>7.69927536231884</v>
      </c>
      <c r="F93" s="1">
        <f t="shared" si="15"/>
        <v>19.92753623188406</v>
      </c>
      <c r="G93" s="1">
        <f t="shared" si="15"/>
        <v>100</v>
      </c>
      <c r="I93" s="9">
        <v>1986</v>
      </c>
      <c r="J93" s="1">
        <f t="shared" si="14"/>
        <v>22.62210796915167</v>
      </c>
      <c r="K93" s="1">
        <f t="shared" si="14"/>
        <v>29.82005141388175</v>
      </c>
      <c r="L93" s="1">
        <f t="shared" si="14"/>
        <v>20.822622107969153</v>
      </c>
      <c r="M93" s="1">
        <f t="shared" si="14"/>
        <v>5.141388174807198</v>
      </c>
      <c r="N93" s="1">
        <f t="shared" si="14"/>
        <v>21.59383033419023</v>
      </c>
      <c r="O93" s="1">
        <f t="shared" si="14"/>
        <v>100</v>
      </c>
    </row>
    <row r="94" spans="1:15" ht="12.75">
      <c r="A94" s="9">
        <v>1987</v>
      </c>
      <c r="B94" s="1">
        <f t="shared" si="15"/>
        <v>25.628548256285484</v>
      </c>
      <c r="C94" s="1">
        <f t="shared" si="15"/>
        <v>23.519870235198702</v>
      </c>
      <c r="D94" s="1">
        <f t="shared" si="15"/>
        <v>20.194647201946474</v>
      </c>
      <c r="E94" s="1">
        <f t="shared" si="15"/>
        <v>8.921330089213301</v>
      </c>
      <c r="F94" s="1">
        <f t="shared" si="15"/>
        <v>21.73560421735604</v>
      </c>
      <c r="G94" s="1">
        <f t="shared" si="15"/>
        <v>100</v>
      </c>
      <c r="I94" s="9">
        <v>1987</v>
      </c>
      <c r="J94" s="1">
        <f t="shared" si="14"/>
        <v>24.12280701754386</v>
      </c>
      <c r="K94" s="1">
        <f t="shared" si="14"/>
        <v>31.57894736842105</v>
      </c>
      <c r="L94" s="1">
        <f t="shared" si="14"/>
        <v>17.105263157894736</v>
      </c>
      <c r="M94" s="1">
        <f t="shared" si="14"/>
        <v>7.894736842105263</v>
      </c>
      <c r="N94" s="1">
        <f t="shared" si="14"/>
        <v>19.298245614035086</v>
      </c>
      <c r="O94" s="1">
        <f t="shared" si="14"/>
        <v>100</v>
      </c>
    </row>
    <row r="95" spans="1:15" ht="12.75">
      <c r="A95" s="9">
        <v>1988</v>
      </c>
      <c r="B95" s="1">
        <f t="shared" si="15"/>
        <v>23.91713747645951</v>
      </c>
      <c r="C95" s="1">
        <f t="shared" si="15"/>
        <v>22.128060263653484</v>
      </c>
      <c r="D95" s="1">
        <f t="shared" si="15"/>
        <v>19.491525423728813</v>
      </c>
      <c r="E95" s="1">
        <f t="shared" si="15"/>
        <v>10.357815442561206</v>
      </c>
      <c r="F95" s="1">
        <f t="shared" si="15"/>
        <v>24.105461393596986</v>
      </c>
      <c r="G95" s="1">
        <f t="shared" si="15"/>
        <v>100</v>
      </c>
      <c r="I95" s="9">
        <v>1988</v>
      </c>
      <c r="J95" s="1">
        <f t="shared" si="14"/>
        <v>23.937360178970916</v>
      </c>
      <c r="K95" s="1">
        <f t="shared" si="14"/>
        <v>25.05592841163311</v>
      </c>
      <c r="L95" s="1">
        <f t="shared" si="14"/>
        <v>17.002237136465325</v>
      </c>
      <c r="M95" s="1">
        <f t="shared" si="14"/>
        <v>14.541387024608502</v>
      </c>
      <c r="N95" s="1">
        <f t="shared" si="14"/>
        <v>19.463087248322147</v>
      </c>
      <c r="O95" s="1">
        <f t="shared" si="14"/>
        <v>100</v>
      </c>
    </row>
    <row r="96" spans="1:15" ht="12.75">
      <c r="A96" s="9">
        <v>1989</v>
      </c>
      <c r="B96" s="1">
        <f t="shared" si="15"/>
        <v>22.23042836041359</v>
      </c>
      <c r="C96" s="1">
        <f t="shared" si="15"/>
        <v>21.270310192023633</v>
      </c>
      <c r="D96" s="1">
        <f t="shared" si="15"/>
        <v>18.75923190546529</v>
      </c>
      <c r="E96" s="1">
        <f t="shared" si="15"/>
        <v>13.44165435745938</v>
      </c>
      <c r="F96" s="1">
        <f t="shared" si="15"/>
        <v>24.29837518463811</v>
      </c>
      <c r="G96" s="1">
        <f t="shared" si="15"/>
        <v>100</v>
      </c>
      <c r="I96" s="9">
        <v>1989</v>
      </c>
      <c r="J96" s="1">
        <f t="shared" si="14"/>
        <v>23.374613003095977</v>
      </c>
      <c r="K96" s="1">
        <f t="shared" si="14"/>
        <v>23.684210526315788</v>
      </c>
      <c r="L96" s="1">
        <f t="shared" si="14"/>
        <v>13.777089783281735</v>
      </c>
      <c r="M96" s="1">
        <f t="shared" si="14"/>
        <v>21.052631578947366</v>
      </c>
      <c r="N96" s="1">
        <f t="shared" si="14"/>
        <v>18.111455108359134</v>
      </c>
      <c r="O96" s="1">
        <f t="shared" si="14"/>
        <v>100</v>
      </c>
    </row>
    <row r="97" spans="1:15" ht="12.75">
      <c r="A97" s="9">
        <v>1990</v>
      </c>
      <c r="B97" s="1">
        <f t="shared" si="15"/>
        <v>24.63393626184324</v>
      </c>
      <c r="C97" s="1">
        <f t="shared" si="15"/>
        <v>18.6046511627907</v>
      </c>
      <c r="D97" s="1">
        <f t="shared" si="15"/>
        <v>17.915590008613265</v>
      </c>
      <c r="E97" s="1">
        <f t="shared" si="15"/>
        <v>12.144702842377262</v>
      </c>
      <c r="F97" s="1">
        <f t="shared" si="15"/>
        <v>26.701119724375538</v>
      </c>
      <c r="G97" s="1">
        <f t="shared" si="15"/>
        <v>100</v>
      </c>
      <c r="I97" s="9">
        <v>1990</v>
      </c>
      <c r="J97" s="1">
        <f t="shared" si="14"/>
        <v>21.115537848605577</v>
      </c>
      <c r="K97" s="1">
        <f t="shared" si="14"/>
        <v>19.12350597609562</v>
      </c>
      <c r="L97" s="1">
        <f t="shared" si="14"/>
        <v>15.139442231075698</v>
      </c>
      <c r="M97" s="1">
        <f t="shared" si="14"/>
        <v>22.709163346613543</v>
      </c>
      <c r="N97" s="1">
        <f t="shared" si="14"/>
        <v>21.91235059760956</v>
      </c>
      <c r="O97" s="1">
        <f t="shared" si="14"/>
        <v>100</v>
      </c>
    </row>
    <row r="98" spans="1:15" ht="12.75">
      <c r="A98" s="9">
        <v>1991</v>
      </c>
      <c r="B98" s="1">
        <f t="shared" si="15"/>
        <v>25.064599483204137</v>
      </c>
      <c r="C98" s="1">
        <f t="shared" si="15"/>
        <v>16.19293712316968</v>
      </c>
      <c r="D98" s="1">
        <f t="shared" si="15"/>
        <v>21.188630490956072</v>
      </c>
      <c r="E98" s="1">
        <f t="shared" si="15"/>
        <v>12.23083548664944</v>
      </c>
      <c r="F98" s="1">
        <f t="shared" si="15"/>
        <v>25.32299741602067</v>
      </c>
      <c r="G98" s="1">
        <f t="shared" si="15"/>
        <v>100</v>
      </c>
      <c r="I98" s="9">
        <v>1991</v>
      </c>
      <c r="J98" s="1">
        <f t="shared" si="14"/>
        <v>26.43884892086331</v>
      </c>
      <c r="K98" s="1">
        <f t="shared" si="14"/>
        <v>18.165467625899282</v>
      </c>
      <c r="L98" s="1">
        <f t="shared" si="14"/>
        <v>16.007194244604317</v>
      </c>
      <c r="M98" s="1">
        <f t="shared" si="14"/>
        <v>17.446043165467625</v>
      </c>
      <c r="N98" s="1">
        <f t="shared" si="14"/>
        <v>21.942446043165468</v>
      </c>
      <c r="O98" s="1">
        <f t="shared" si="14"/>
        <v>100</v>
      </c>
    </row>
    <row r="99" spans="1:15" ht="12.75">
      <c r="A99" s="9">
        <v>1992</v>
      </c>
      <c r="B99" s="1">
        <f t="shared" si="15"/>
        <v>18.914956011730204</v>
      </c>
      <c r="C99" s="1">
        <f t="shared" si="15"/>
        <v>16.568914956011728</v>
      </c>
      <c r="D99" s="1">
        <f t="shared" si="15"/>
        <v>22.87390029325513</v>
      </c>
      <c r="E99" s="1">
        <f t="shared" si="15"/>
        <v>11.436950146627565</v>
      </c>
      <c r="F99" s="1">
        <f t="shared" si="15"/>
        <v>30.205278592375368</v>
      </c>
      <c r="G99" s="1">
        <f t="shared" si="15"/>
        <v>100</v>
      </c>
      <c r="I99" s="9">
        <v>1992</v>
      </c>
      <c r="J99" s="1">
        <f t="shared" si="14"/>
        <v>20.81377151799687</v>
      </c>
      <c r="K99" s="1">
        <f t="shared" si="14"/>
        <v>12.519561815336463</v>
      </c>
      <c r="L99" s="1">
        <f t="shared" si="14"/>
        <v>13.615023474178404</v>
      </c>
      <c r="M99" s="1">
        <f t="shared" si="14"/>
        <v>25.821596244131456</v>
      </c>
      <c r="N99" s="1">
        <f t="shared" si="14"/>
        <v>27.230046948356808</v>
      </c>
      <c r="O99" s="1">
        <f t="shared" si="14"/>
        <v>100</v>
      </c>
    </row>
    <row r="100" spans="1:15" ht="12.75">
      <c r="A100" s="9">
        <v>1993</v>
      </c>
      <c r="B100" s="1">
        <f t="shared" si="15"/>
        <v>22.304283604135893</v>
      </c>
      <c r="C100" s="1">
        <f t="shared" si="15"/>
        <v>14.623338257016247</v>
      </c>
      <c r="D100" s="1">
        <f t="shared" si="15"/>
        <v>20.38404726735598</v>
      </c>
      <c r="E100" s="1">
        <f t="shared" si="15"/>
        <v>11.521418020679468</v>
      </c>
      <c r="F100" s="1">
        <f t="shared" si="15"/>
        <v>31.166912850812405</v>
      </c>
      <c r="G100" s="1">
        <f t="shared" si="15"/>
        <v>100</v>
      </c>
      <c r="I100" s="9">
        <v>1993</v>
      </c>
      <c r="J100" s="1">
        <f t="shared" si="14"/>
        <v>19.142857142857142</v>
      </c>
      <c r="K100" s="1">
        <f t="shared" si="14"/>
        <v>12.142857142857142</v>
      </c>
      <c r="L100" s="1">
        <f t="shared" si="14"/>
        <v>11.857142857142858</v>
      </c>
      <c r="M100" s="1">
        <f t="shared" si="14"/>
        <v>26.42857142857143</v>
      </c>
      <c r="N100" s="1">
        <f t="shared" si="14"/>
        <v>30.428571428571427</v>
      </c>
      <c r="O100" s="1">
        <f t="shared" si="14"/>
        <v>100</v>
      </c>
    </row>
    <row r="101" spans="1:15" ht="12.75">
      <c r="A101" s="9">
        <v>1994</v>
      </c>
      <c r="B101" s="1">
        <f t="shared" si="15"/>
        <v>21.973785659213572</v>
      </c>
      <c r="C101" s="1">
        <f t="shared" si="15"/>
        <v>13.261372397841173</v>
      </c>
      <c r="D101" s="1">
        <f t="shared" si="15"/>
        <v>19.660755589822667</v>
      </c>
      <c r="E101" s="1">
        <f t="shared" si="15"/>
        <v>12.72166538164996</v>
      </c>
      <c r="F101" s="1">
        <f t="shared" si="15"/>
        <v>32.382420971472634</v>
      </c>
      <c r="G101" s="1">
        <f t="shared" si="15"/>
        <v>100</v>
      </c>
      <c r="I101" s="9">
        <v>1994</v>
      </c>
      <c r="J101" s="1">
        <f t="shared" si="14"/>
        <v>19.731543624161073</v>
      </c>
      <c r="K101" s="1">
        <f t="shared" si="14"/>
        <v>14.228187919463087</v>
      </c>
      <c r="L101" s="1">
        <f t="shared" si="14"/>
        <v>10.06711409395973</v>
      </c>
      <c r="M101" s="1">
        <f t="shared" si="14"/>
        <v>30.335570469798657</v>
      </c>
      <c r="N101" s="1">
        <f t="shared" si="14"/>
        <v>25.63758389261745</v>
      </c>
      <c r="O101" s="1">
        <f t="shared" si="14"/>
        <v>100</v>
      </c>
    </row>
    <row r="102" spans="1:15" ht="12.75">
      <c r="A102" s="9">
        <v>1995</v>
      </c>
      <c r="B102" s="1">
        <f t="shared" si="15"/>
        <v>22.31404958677686</v>
      </c>
      <c r="C102" s="1">
        <f t="shared" si="15"/>
        <v>13.360881542699724</v>
      </c>
      <c r="D102" s="1">
        <f t="shared" si="15"/>
        <v>18.87052341597796</v>
      </c>
      <c r="E102" s="1">
        <f t="shared" si="15"/>
        <v>13.360881542699724</v>
      </c>
      <c r="F102" s="1">
        <f t="shared" si="15"/>
        <v>32.09366391184573</v>
      </c>
      <c r="G102" s="1">
        <f t="shared" si="15"/>
        <v>100</v>
      </c>
      <c r="I102" s="9">
        <v>1995</v>
      </c>
      <c r="J102" s="1">
        <f t="shared" si="14"/>
        <v>21.176470588235293</v>
      </c>
      <c r="K102" s="1">
        <f t="shared" si="14"/>
        <v>13.176470588235295</v>
      </c>
      <c r="L102" s="1">
        <f t="shared" si="14"/>
        <v>11.176470588235295</v>
      </c>
      <c r="M102" s="1">
        <f t="shared" si="14"/>
        <v>31.88235294117647</v>
      </c>
      <c r="N102" s="1">
        <f t="shared" si="14"/>
        <v>22.58823529411765</v>
      </c>
      <c r="O102" s="1">
        <f t="shared" si="14"/>
        <v>100</v>
      </c>
    </row>
    <row r="103" spans="1:15" ht="12.75">
      <c r="A103" s="9">
        <v>1996</v>
      </c>
      <c r="B103" s="1">
        <f t="shared" si="15"/>
        <v>23.081499107674002</v>
      </c>
      <c r="C103" s="1">
        <f t="shared" si="15"/>
        <v>15.169541939321832</v>
      </c>
      <c r="D103" s="1">
        <f t="shared" si="15"/>
        <v>18.14396192742415</v>
      </c>
      <c r="E103" s="1">
        <f t="shared" si="15"/>
        <v>16.00237953599048</v>
      </c>
      <c r="F103" s="1">
        <f t="shared" si="15"/>
        <v>27.60261748958953</v>
      </c>
      <c r="G103" s="1">
        <f t="shared" si="15"/>
        <v>100</v>
      </c>
      <c r="I103" s="9">
        <v>1996</v>
      </c>
      <c r="J103" s="1">
        <f t="shared" si="14"/>
        <v>21.536670547147846</v>
      </c>
      <c r="K103" s="1">
        <f t="shared" si="14"/>
        <v>13.271245634458673</v>
      </c>
      <c r="L103" s="1">
        <f t="shared" si="14"/>
        <v>11.874272409778813</v>
      </c>
      <c r="M103" s="1">
        <f t="shared" si="14"/>
        <v>35.85564610011641</v>
      </c>
      <c r="N103" s="1">
        <f t="shared" si="14"/>
        <v>17.462165308498253</v>
      </c>
      <c r="O103" s="1">
        <f t="shared" si="14"/>
        <v>100</v>
      </c>
    </row>
    <row r="104" spans="1:15" ht="12.75">
      <c r="A104" s="9">
        <v>1997</v>
      </c>
      <c r="B104" s="1">
        <f t="shared" si="15"/>
        <v>23.584354932866315</v>
      </c>
      <c r="C104" s="1">
        <f t="shared" si="15"/>
        <v>13.543490951546994</v>
      </c>
      <c r="D104" s="1">
        <f t="shared" si="15"/>
        <v>22.416812609457093</v>
      </c>
      <c r="E104" s="1">
        <f t="shared" si="15"/>
        <v>18.7974314068885</v>
      </c>
      <c r="F104" s="1">
        <f t="shared" si="15"/>
        <v>21.6579100992411</v>
      </c>
      <c r="G104" s="1">
        <f t="shared" si="15"/>
        <v>100</v>
      </c>
      <c r="I104" s="9">
        <v>1997</v>
      </c>
      <c r="J104" s="1">
        <f t="shared" si="14"/>
        <v>15.102974828375288</v>
      </c>
      <c r="K104" s="1">
        <f t="shared" si="14"/>
        <v>12.700228832951947</v>
      </c>
      <c r="L104" s="1">
        <f t="shared" si="14"/>
        <v>14.073226544622425</v>
      </c>
      <c r="M104" s="1">
        <f t="shared" si="14"/>
        <v>47.025171624713956</v>
      </c>
      <c r="N104" s="1">
        <f t="shared" si="14"/>
        <v>11.098398169336384</v>
      </c>
      <c r="O104" s="1">
        <f t="shared" si="14"/>
        <v>100</v>
      </c>
    </row>
    <row r="105" spans="1:15" ht="12.75">
      <c r="A105" s="9">
        <v>1998</v>
      </c>
      <c r="B105" s="1">
        <f t="shared" si="15"/>
        <v>22.67884322678843</v>
      </c>
      <c r="C105" s="1">
        <f t="shared" si="15"/>
        <v>14.662607813292745</v>
      </c>
      <c r="D105" s="1">
        <f t="shared" si="15"/>
        <v>20.294266869609334</v>
      </c>
      <c r="E105" s="1">
        <f t="shared" si="15"/>
        <v>21.562658548959917</v>
      </c>
      <c r="F105" s="1">
        <f t="shared" si="15"/>
        <v>20.801623541349567</v>
      </c>
      <c r="G105" s="1">
        <f t="shared" si="15"/>
        <v>100</v>
      </c>
      <c r="I105" s="9">
        <v>1998</v>
      </c>
      <c r="J105" s="1">
        <f aca="true" t="shared" si="16" ref="J105:O105">(J85/$O85)*100</f>
        <v>18.476903870162296</v>
      </c>
      <c r="K105" s="1">
        <f t="shared" si="16"/>
        <v>12.234706616729088</v>
      </c>
      <c r="L105" s="1">
        <f t="shared" si="16"/>
        <v>13.108614232209737</v>
      </c>
      <c r="M105" s="1">
        <f t="shared" si="16"/>
        <v>45.69288389513109</v>
      </c>
      <c r="N105" s="1">
        <f t="shared" si="16"/>
        <v>10.486891385767791</v>
      </c>
      <c r="O105" s="1">
        <f t="shared" si="16"/>
        <v>100</v>
      </c>
    </row>
    <row r="106" spans="1:15" ht="12.75">
      <c r="A106" s="9">
        <v>1999</v>
      </c>
      <c r="B106" s="1">
        <f t="shared" si="15"/>
        <v>21.40449438202247</v>
      </c>
      <c r="C106" s="1">
        <f t="shared" si="15"/>
        <v>13.988764044943819</v>
      </c>
      <c r="D106" s="1">
        <f t="shared" si="15"/>
        <v>20.168539325842698</v>
      </c>
      <c r="E106" s="1">
        <f t="shared" si="15"/>
        <v>20.786516853932586</v>
      </c>
      <c r="F106" s="1">
        <f t="shared" si="15"/>
        <v>23.651685393258425</v>
      </c>
      <c r="G106" s="1">
        <f t="shared" si="15"/>
        <v>100</v>
      </c>
      <c r="I106" s="9">
        <v>1999</v>
      </c>
      <c r="J106" s="1">
        <f aca="true" t="shared" si="17" ref="J106:O106">(J86/$O86)*100</f>
        <v>18.143459915611814</v>
      </c>
      <c r="K106" s="1">
        <f t="shared" si="17"/>
        <v>12.236286919831224</v>
      </c>
      <c r="L106" s="1">
        <f t="shared" si="17"/>
        <v>11.533052039381154</v>
      </c>
      <c r="M106" s="1">
        <f t="shared" si="17"/>
        <v>45.71026722925457</v>
      </c>
      <c r="N106" s="1">
        <f t="shared" si="17"/>
        <v>12.376933895921239</v>
      </c>
      <c r="O106" s="1">
        <f t="shared" si="17"/>
        <v>100</v>
      </c>
    </row>
    <row r="108" spans="1:9" ht="12.75">
      <c r="A108" s="4" t="str">
        <f>CONCATENATE("Admissions by Admission-Type, All Races: ",$A$1)</f>
        <v>Admissions by Admission-Type, All Races: COLORADO</v>
      </c>
      <c r="I108" s="4" t="str">
        <f>CONCATENATE("Percent of Total, Admissions by Admission-Type, All Races: ",$A$1)</f>
        <v>Percent of Total, Admissions by Admission-Type, All Races: COLORADO</v>
      </c>
    </row>
    <row r="109" spans="1:13" s="4" customFormat="1" ht="12.75">
      <c r="A109" s="18" t="s">
        <v>20</v>
      </c>
      <c r="B109" s="14" t="s">
        <v>24</v>
      </c>
      <c r="C109" s="14" t="s">
        <v>21</v>
      </c>
      <c r="D109" s="14" t="s">
        <v>35</v>
      </c>
      <c r="E109" s="14" t="s">
        <v>22</v>
      </c>
      <c r="F109" s="14" t="s">
        <v>36</v>
      </c>
      <c r="G109" s="14" t="s">
        <v>13</v>
      </c>
      <c r="I109" s="18" t="s">
        <v>20</v>
      </c>
      <c r="J109" s="14" t="s">
        <v>24</v>
      </c>
      <c r="K109" s="14" t="s">
        <v>23</v>
      </c>
      <c r="L109" s="14" t="s">
        <v>22</v>
      </c>
      <c r="M109" s="14" t="s">
        <v>13</v>
      </c>
    </row>
    <row r="110" spans="1:13" ht="12.75">
      <c r="A110" s="9">
        <v>1983</v>
      </c>
      <c r="B110">
        <v>1615</v>
      </c>
      <c r="C110">
        <v>286</v>
      </c>
      <c r="D110">
        <v>22</v>
      </c>
      <c r="E110">
        <v>13</v>
      </c>
      <c r="F110" s="2">
        <f>SUM(C110:D110)</f>
        <v>308</v>
      </c>
      <c r="G110">
        <v>1936</v>
      </c>
      <c r="I110" s="9">
        <v>1983</v>
      </c>
      <c r="J110" s="1">
        <f aca="true" t="shared" si="18" ref="J110:J126">(B110/$G110)*100</f>
        <v>83.4194214876033</v>
      </c>
      <c r="K110" s="1">
        <f aca="true" t="shared" si="19" ref="K110:K126">((C110+D110)/$G110)*100</f>
        <v>15.909090909090908</v>
      </c>
      <c r="L110" s="1">
        <f aca="true" t="shared" si="20" ref="L110:L126">(E110/$G110)*100</f>
        <v>0.6714876033057852</v>
      </c>
      <c r="M110" s="1">
        <f aca="true" t="shared" si="21" ref="M110:M126">(G110/$G110)*100</f>
        <v>100</v>
      </c>
    </row>
    <row r="111" spans="1:13" ht="12.75">
      <c r="A111" s="9">
        <v>1984</v>
      </c>
      <c r="B111">
        <v>1279</v>
      </c>
      <c r="C111">
        <v>0</v>
      </c>
      <c r="D111">
        <v>0</v>
      </c>
      <c r="E111">
        <v>650</v>
      </c>
      <c r="F111" s="2">
        <f aca="true" t="shared" si="22" ref="F111:F126">SUM(C111:D111)</f>
        <v>0</v>
      </c>
      <c r="G111">
        <v>1929</v>
      </c>
      <c r="I111" s="9">
        <v>1984</v>
      </c>
      <c r="J111" s="1">
        <f t="shared" si="18"/>
        <v>66.3037843442198</v>
      </c>
      <c r="K111" s="1">
        <f t="shared" si="19"/>
        <v>0</v>
      </c>
      <c r="L111" s="1">
        <f t="shared" si="20"/>
        <v>33.6962156557802</v>
      </c>
      <c r="M111" s="1">
        <f t="shared" si="21"/>
        <v>100</v>
      </c>
    </row>
    <row r="112" spans="1:13" ht="12.75">
      <c r="A112" s="9">
        <v>1985</v>
      </c>
      <c r="B112">
        <v>1739</v>
      </c>
      <c r="C112">
        <v>385</v>
      </c>
      <c r="D112">
        <v>34</v>
      </c>
      <c r="E112">
        <v>12</v>
      </c>
      <c r="F112" s="2">
        <f t="shared" si="22"/>
        <v>419</v>
      </c>
      <c r="G112">
        <v>2170</v>
      </c>
      <c r="I112" s="9">
        <v>1985</v>
      </c>
      <c r="J112" s="1">
        <f t="shared" si="18"/>
        <v>80.13824884792626</v>
      </c>
      <c r="K112" s="1">
        <f t="shared" si="19"/>
        <v>19.308755760368665</v>
      </c>
      <c r="L112" s="1">
        <f t="shared" si="20"/>
        <v>0.5529953917050692</v>
      </c>
      <c r="M112" s="1">
        <f t="shared" si="21"/>
        <v>100</v>
      </c>
    </row>
    <row r="113" spans="1:13" ht="12.75">
      <c r="A113" s="9">
        <v>1986</v>
      </c>
      <c r="B113">
        <v>1965</v>
      </c>
      <c r="C113">
        <v>500</v>
      </c>
      <c r="D113">
        <v>48</v>
      </c>
      <c r="E113">
        <v>13</v>
      </c>
      <c r="F113" s="2">
        <f t="shared" si="22"/>
        <v>548</v>
      </c>
      <c r="G113">
        <v>2526</v>
      </c>
      <c r="I113" s="9">
        <v>1986</v>
      </c>
      <c r="J113" s="1">
        <f t="shared" si="18"/>
        <v>77.79097387173397</v>
      </c>
      <c r="K113" s="1">
        <f t="shared" si="19"/>
        <v>21.694378463974665</v>
      </c>
      <c r="L113" s="1">
        <f t="shared" si="20"/>
        <v>0.5146476642913698</v>
      </c>
      <c r="M113" s="1">
        <f t="shared" si="21"/>
        <v>100</v>
      </c>
    </row>
    <row r="114" spans="1:13" ht="12.75">
      <c r="A114" s="9">
        <v>1987</v>
      </c>
      <c r="B114">
        <v>2255</v>
      </c>
      <c r="C114">
        <v>653</v>
      </c>
      <c r="D114">
        <v>52</v>
      </c>
      <c r="E114">
        <v>8</v>
      </c>
      <c r="F114" s="2">
        <f t="shared" si="22"/>
        <v>705</v>
      </c>
      <c r="G114">
        <v>2968</v>
      </c>
      <c r="I114" s="9">
        <v>1987</v>
      </c>
      <c r="J114" s="1">
        <f t="shared" si="18"/>
        <v>75.97708894878707</v>
      </c>
      <c r="K114" s="1">
        <f t="shared" si="19"/>
        <v>23.753369272237197</v>
      </c>
      <c r="L114" s="1">
        <f t="shared" si="20"/>
        <v>0.2695417789757413</v>
      </c>
      <c r="M114" s="1">
        <f t="shared" si="21"/>
        <v>100</v>
      </c>
    </row>
    <row r="115" spans="1:13" ht="12.75">
      <c r="A115" s="9">
        <v>1988</v>
      </c>
      <c r="B115">
        <v>2047</v>
      </c>
      <c r="C115">
        <v>428</v>
      </c>
      <c r="D115">
        <v>15</v>
      </c>
      <c r="E115">
        <v>68</v>
      </c>
      <c r="F115" s="2">
        <f t="shared" si="22"/>
        <v>443</v>
      </c>
      <c r="G115">
        <v>2558</v>
      </c>
      <c r="I115" s="9">
        <v>1988</v>
      </c>
      <c r="J115" s="1">
        <f t="shared" si="18"/>
        <v>80.02345582486318</v>
      </c>
      <c r="K115" s="1">
        <f t="shared" si="19"/>
        <v>17.3182173573104</v>
      </c>
      <c r="L115" s="1">
        <f t="shared" si="20"/>
        <v>2.6583268178264268</v>
      </c>
      <c r="M115" s="1">
        <f t="shared" si="21"/>
        <v>100</v>
      </c>
    </row>
    <row r="116" spans="1:13" ht="12.75">
      <c r="A116" s="9">
        <v>1989</v>
      </c>
      <c r="B116">
        <v>2661</v>
      </c>
      <c r="C116">
        <v>418</v>
      </c>
      <c r="D116">
        <v>0</v>
      </c>
      <c r="E116">
        <v>133</v>
      </c>
      <c r="F116" s="2">
        <f t="shared" si="22"/>
        <v>418</v>
      </c>
      <c r="G116">
        <v>3212</v>
      </c>
      <c r="I116" s="9">
        <v>1989</v>
      </c>
      <c r="J116" s="1">
        <f t="shared" si="18"/>
        <v>82.84557907845578</v>
      </c>
      <c r="K116" s="1">
        <f t="shared" si="19"/>
        <v>13.013698630136986</v>
      </c>
      <c r="L116" s="1">
        <f t="shared" si="20"/>
        <v>4.140722291407223</v>
      </c>
      <c r="M116" s="1">
        <f t="shared" si="21"/>
        <v>100</v>
      </c>
    </row>
    <row r="117" spans="1:13" ht="12.75">
      <c r="A117" s="9">
        <v>1990</v>
      </c>
      <c r="B117">
        <v>2280</v>
      </c>
      <c r="C117">
        <v>436</v>
      </c>
      <c r="D117">
        <v>3</v>
      </c>
      <c r="E117">
        <v>233</v>
      </c>
      <c r="F117" s="2">
        <f t="shared" si="22"/>
        <v>439</v>
      </c>
      <c r="G117">
        <v>2952</v>
      </c>
      <c r="I117" s="9">
        <v>1990</v>
      </c>
      <c r="J117" s="1">
        <f t="shared" si="18"/>
        <v>77.23577235772358</v>
      </c>
      <c r="K117" s="1">
        <f t="shared" si="19"/>
        <v>14.871273712737127</v>
      </c>
      <c r="L117" s="1">
        <f t="shared" si="20"/>
        <v>7.892953929539296</v>
      </c>
      <c r="M117" s="1">
        <f t="shared" si="21"/>
        <v>100</v>
      </c>
    </row>
    <row r="118" spans="1:13" ht="12.75">
      <c r="A118" s="9">
        <v>1991</v>
      </c>
      <c r="B118">
        <v>2412</v>
      </c>
      <c r="C118">
        <v>328</v>
      </c>
      <c r="D118">
        <v>26</v>
      </c>
      <c r="E118">
        <v>188</v>
      </c>
      <c r="F118" s="2">
        <f t="shared" si="22"/>
        <v>354</v>
      </c>
      <c r="G118">
        <v>2954</v>
      </c>
      <c r="I118" s="9">
        <v>1991</v>
      </c>
      <c r="J118" s="1">
        <f t="shared" si="18"/>
        <v>81.65199729180772</v>
      </c>
      <c r="K118" s="1">
        <f t="shared" si="19"/>
        <v>11.98375084631009</v>
      </c>
      <c r="L118" s="1">
        <f t="shared" si="20"/>
        <v>6.3642518618821935</v>
      </c>
      <c r="M118" s="1">
        <f t="shared" si="21"/>
        <v>100</v>
      </c>
    </row>
    <row r="119" spans="1:13" ht="12.75">
      <c r="A119" s="9">
        <v>1992</v>
      </c>
      <c r="B119">
        <v>2802</v>
      </c>
      <c r="C119">
        <v>696</v>
      </c>
      <c r="D119">
        <v>58</v>
      </c>
      <c r="E119">
        <v>45</v>
      </c>
      <c r="F119" s="2">
        <f t="shared" si="22"/>
        <v>754</v>
      </c>
      <c r="G119">
        <v>3601</v>
      </c>
      <c r="I119" s="9">
        <v>1992</v>
      </c>
      <c r="J119" s="1">
        <f t="shared" si="18"/>
        <v>77.81171896695362</v>
      </c>
      <c r="K119" s="1">
        <f t="shared" si="19"/>
        <v>20.938628158844764</v>
      </c>
      <c r="L119" s="1">
        <f t="shared" si="20"/>
        <v>1.2496528742016106</v>
      </c>
      <c r="M119" s="1">
        <f t="shared" si="21"/>
        <v>100</v>
      </c>
    </row>
    <row r="120" spans="1:13" ht="12.75">
      <c r="A120" s="9">
        <v>1993</v>
      </c>
      <c r="B120">
        <v>2879</v>
      </c>
      <c r="C120">
        <v>765</v>
      </c>
      <c r="D120">
        <v>49</v>
      </c>
      <c r="E120">
        <v>104</v>
      </c>
      <c r="F120" s="2">
        <f t="shared" si="22"/>
        <v>814</v>
      </c>
      <c r="G120">
        <v>3797</v>
      </c>
      <c r="I120" s="9">
        <v>1993</v>
      </c>
      <c r="J120" s="1">
        <f t="shared" si="18"/>
        <v>75.82301817224123</v>
      </c>
      <c r="K120" s="1">
        <f t="shared" si="19"/>
        <v>21.4379773505399</v>
      </c>
      <c r="L120" s="1">
        <f t="shared" si="20"/>
        <v>2.739004477218857</v>
      </c>
      <c r="M120" s="1">
        <f t="shared" si="21"/>
        <v>100</v>
      </c>
    </row>
    <row r="121" spans="1:13" ht="12.75">
      <c r="A121" s="9">
        <v>1994</v>
      </c>
      <c r="B121">
        <v>3007</v>
      </c>
      <c r="C121">
        <v>861</v>
      </c>
      <c r="D121">
        <v>32</v>
      </c>
      <c r="E121">
        <v>99</v>
      </c>
      <c r="F121" s="2">
        <f t="shared" si="22"/>
        <v>893</v>
      </c>
      <c r="G121">
        <v>3999</v>
      </c>
      <c r="I121" s="9">
        <v>1994</v>
      </c>
      <c r="J121" s="1">
        <f t="shared" si="18"/>
        <v>75.1937984496124</v>
      </c>
      <c r="K121" s="1">
        <f t="shared" si="19"/>
        <v>22.330582645661416</v>
      </c>
      <c r="L121" s="1">
        <f t="shared" si="20"/>
        <v>2.4756189047261814</v>
      </c>
      <c r="M121" s="1">
        <f t="shared" si="21"/>
        <v>100</v>
      </c>
    </row>
    <row r="122" spans="1:13" ht="12.75">
      <c r="A122" s="9">
        <v>1995</v>
      </c>
      <c r="B122">
        <v>3480</v>
      </c>
      <c r="C122">
        <v>837</v>
      </c>
      <c r="D122">
        <v>32</v>
      </c>
      <c r="E122">
        <v>117</v>
      </c>
      <c r="F122" s="2">
        <f t="shared" si="22"/>
        <v>869</v>
      </c>
      <c r="G122">
        <v>4466</v>
      </c>
      <c r="I122" s="9">
        <v>1995</v>
      </c>
      <c r="J122" s="1">
        <f t="shared" si="18"/>
        <v>77.92207792207793</v>
      </c>
      <c r="K122" s="1">
        <f t="shared" si="19"/>
        <v>19.458128078817737</v>
      </c>
      <c r="L122" s="1">
        <f t="shared" si="20"/>
        <v>2.6197939991043437</v>
      </c>
      <c r="M122" s="1">
        <f t="shared" si="21"/>
        <v>100</v>
      </c>
    </row>
    <row r="123" spans="1:13" ht="12.75">
      <c r="A123" s="9">
        <v>1996</v>
      </c>
      <c r="B123">
        <v>3852</v>
      </c>
      <c r="C123">
        <v>998</v>
      </c>
      <c r="D123">
        <v>59</v>
      </c>
      <c r="E123">
        <v>116</v>
      </c>
      <c r="F123" s="2">
        <f t="shared" si="22"/>
        <v>1057</v>
      </c>
      <c r="G123">
        <v>5025</v>
      </c>
      <c r="I123" s="9">
        <v>1996</v>
      </c>
      <c r="J123" s="1">
        <f t="shared" si="18"/>
        <v>76.65671641791046</v>
      </c>
      <c r="K123" s="1">
        <f t="shared" si="19"/>
        <v>21.034825870646767</v>
      </c>
      <c r="L123" s="1">
        <f t="shared" si="20"/>
        <v>2.308457711442786</v>
      </c>
      <c r="M123" s="1">
        <f t="shared" si="21"/>
        <v>100</v>
      </c>
    </row>
    <row r="124" spans="1:13" ht="12.75">
      <c r="A124" s="9">
        <v>1997</v>
      </c>
      <c r="B124">
        <v>3872</v>
      </c>
      <c r="C124">
        <v>1149</v>
      </c>
      <c r="D124">
        <v>97</v>
      </c>
      <c r="E124">
        <v>105</v>
      </c>
      <c r="F124" s="2">
        <f t="shared" si="22"/>
        <v>1246</v>
      </c>
      <c r="G124">
        <v>5223</v>
      </c>
      <c r="I124" s="9">
        <v>1997</v>
      </c>
      <c r="J124" s="1">
        <f t="shared" si="18"/>
        <v>74.13363967068734</v>
      </c>
      <c r="K124" s="1">
        <f t="shared" si="19"/>
        <v>23.85602144361478</v>
      </c>
      <c r="L124" s="1">
        <f t="shared" si="20"/>
        <v>2.010338885697875</v>
      </c>
      <c r="M124" s="1">
        <f t="shared" si="21"/>
        <v>100</v>
      </c>
    </row>
    <row r="125" spans="1:13" ht="12.75">
      <c r="A125" s="9">
        <v>1998</v>
      </c>
      <c r="B125">
        <v>4100</v>
      </c>
      <c r="C125">
        <v>1500</v>
      </c>
      <c r="D125">
        <v>50</v>
      </c>
      <c r="E125">
        <v>101</v>
      </c>
      <c r="F125" s="2">
        <f t="shared" si="22"/>
        <v>1550</v>
      </c>
      <c r="G125">
        <v>5751</v>
      </c>
      <c r="I125" s="9">
        <v>1998</v>
      </c>
      <c r="J125" s="1">
        <f t="shared" si="18"/>
        <v>71.29194922622153</v>
      </c>
      <c r="K125" s="1">
        <f t="shared" si="19"/>
        <v>26.95183446357155</v>
      </c>
      <c r="L125" s="1">
        <f t="shared" si="20"/>
        <v>1.7562163102069206</v>
      </c>
      <c r="M125" s="1">
        <f t="shared" si="21"/>
        <v>100</v>
      </c>
    </row>
    <row r="126" spans="1:13" ht="12.75">
      <c r="A126" s="9">
        <v>1999</v>
      </c>
      <c r="B126">
        <v>3744</v>
      </c>
      <c r="C126">
        <v>1990</v>
      </c>
      <c r="D126">
        <v>42</v>
      </c>
      <c r="E126">
        <v>111</v>
      </c>
      <c r="F126" s="2">
        <f t="shared" si="22"/>
        <v>2032</v>
      </c>
      <c r="G126">
        <v>5887</v>
      </c>
      <c r="I126" s="9">
        <v>1999</v>
      </c>
      <c r="J126" s="1">
        <f t="shared" si="18"/>
        <v>63.597757771360634</v>
      </c>
      <c r="K126" s="1">
        <f t="shared" si="19"/>
        <v>34.516731781892304</v>
      </c>
      <c r="L126" s="1">
        <f t="shared" si="20"/>
        <v>1.8855104467470698</v>
      </c>
      <c r="M126" s="1">
        <f t="shared" si="21"/>
        <v>100</v>
      </c>
    </row>
  </sheetData>
  <mergeCells count="12">
    <mergeCell ref="N26:P26"/>
    <mergeCell ref="Q26:S26"/>
    <mergeCell ref="N3:P3"/>
    <mergeCell ref="Q3:S3"/>
    <mergeCell ref="B26:D26"/>
    <mergeCell ref="E26:G26"/>
    <mergeCell ref="B3:D3"/>
    <mergeCell ref="E3:G3"/>
    <mergeCell ref="H3:J3"/>
    <mergeCell ref="K3:M3"/>
    <mergeCell ref="H26:J26"/>
    <mergeCell ref="K26:M26"/>
  </mergeCells>
  <printOptions/>
  <pageMargins left="0.75" right="0.75" top="1" bottom="1" header="0.5" footer="0.5"/>
  <pageSetup horizontalDpi="600" verticalDpi="600" orientation="landscape" scale="64" r:id="rId1"/>
  <rowBreaks count="2" manualBreakCount="2">
    <brk id="44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7"/>
  <sheetViews>
    <sheetView zoomScale="50" zoomScaleNormal="50" workbookViewId="0" topLeftCell="A4">
      <selection activeCell="B90" sqref="B90:F106"/>
    </sheetView>
  </sheetViews>
  <sheetFormatPr defaultColWidth="9.140625" defaultRowHeight="12.75"/>
  <cols>
    <col min="1" max="1" width="5.8515625" style="0" customWidth="1"/>
    <col min="10" max="10" width="8.140625" style="0" customWidth="1"/>
    <col min="13" max="14" width="10.140625" style="0" bestFit="1" customWidth="1"/>
    <col min="16" max="16" width="9.28125" style="0" bestFit="1" customWidth="1"/>
    <col min="17" max="17" width="9.421875" style="0" bestFit="1" customWidth="1"/>
    <col min="18" max="23" width="9.28125" style="0" bestFit="1" customWidth="1"/>
    <col min="26" max="26" width="9.28125" style="0" bestFit="1" customWidth="1"/>
    <col min="27" max="27" width="10.421875" style="0" bestFit="1" customWidth="1"/>
    <col min="28" max="31" width="9.28125" style="0" bestFit="1" customWidth="1"/>
    <col min="33" max="33" width="10.421875" style="0" bestFit="1" customWidth="1"/>
    <col min="36" max="41" width="9.28125" style="0" bestFit="1" customWidth="1"/>
    <col min="43" max="43" width="9.28125" style="0" bestFit="1" customWidth="1"/>
  </cols>
  <sheetData>
    <row r="1" ht="12.75">
      <c r="A1" s="4" t="s">
        <v>38</v>
      </c>
    </row>
    <row r="2" spans="1:44" ht="12.75">
      <c r="A2" s="30" t="str">
        <f>CONCATENATE("Total Admissions, All Races: ",$A$1)</f>
        <v>Total Admissions, All Races: COLORADO</v>
      </c>
      <c r="B2" s="30"/>
      <c r="C2" s="30"/>
      <c r="D2" s="30"/>
      <c r="E2" s="30"/>
      <c r="F2" s="30"/>
      <c r="G2" s="30"/>
      <c r="H2" s="30"/>
      <c r="J2" s="30" t="str">
        <f>CONCATENATE("Total Admissions, BW + Balance: ",$A$1)</f>
        <v>Total Admissions, BW + Balance: COLORADO</v>
      </c>
      <c r="K2" s="30"/>
      <c r="L2" s="30"/>
      <c r="M2" s="30"/>
      <c r="N2" s="30"/>
      <c r="P2" s="30" t="str">
        <f>CONCATENATE("Percent of Total, Total Admissions by Race: ",$A$1)</f>
        <v>Percent of Total, Total Admissions by Race: COLORADO</v>
      </c>
      <c r="Q2" s="30"/>
      <c r="R2" s="30"/>
      <c r="S2" s="30"/>
      <c r="T2" s="30"/>
      <c r="U2" s="30"/>
      <c r="V2" s="30"/>
      <c r="W2" s="30"/>
      <c r="Z2" s="30" t="str">
        <f>CONCATENATE("Total Population, By Race: ",$A$1)</f>
        <v>Total Population, By Race: COLORADO</v>
      </c>
      <c r="AA2" s="30"/>
      <c r="AB2" s="30"/>
      <c r="AC2" s="30"/>
      <c r="AD2" s="30"/>
      <c r="AE2" s="30"/>
      <c r="AF2" s="30"/>
      <c r="AG2" s="30"/>
      <c r="AJ2" s="30" t="str">
        <f>CONCATENATE("Total Admissions, per 100,000 By Race: ",$A$1)</f>
        <v>Total Admissions, per 100,000 By Race: COLORADO</v>
      </c>
      <c r="AK2" s="30"/>
      <c r="AL2" s="30"/>
      <c r="AM2" s="30"/>
      <c r="AN2" s="30"/>
      <c r="AO2" s="30"/>
      <c r="AP2" s="30"/>
      <c r="AQ2" s="30"/>
      <c r="AR2" s="30"/>
    </row>
    <row r="3" spans="1:44" s="5" customFormat="1" ht="12.75">
      <c r="A3" s="20" t="s">
        <v>25</v>
      </c>
      <c r="B3" s="19" t="s">
        <v>11</v>
      </c>
      <c r="C3" s="19" t="s">
        <v>12</v>
      </c>
      <c r="D3" s="19" t="s">
        <v>28</v>
      </c>
      <c r="E3" s="19" t="s">
        <v>29</v>
      </c>
      <c r="F3" s="19" t="s">
        <v>26</v>
      </c>
      <c r="G3" s="19" t="s">
        <v>27</v>
      </c>
      <c r="H3" s="19" t="s">
        <v>13</v>
      </c>
      <c r="J3" s="20" t="s">
        <v>25</v>
      </c>
      <c r="K3" s="19" t="s">
        <v>11</v>
      </c>
      <c r="L3" s="19" t="s">
        <v>12</v>
      </c>
      <c r="M3" s="19" t="s">
        <v>30</v>
      </c>
      <c r="N3" s="19" t="s">
        <v>13</v>
      </c>
      <c r="P3" s="20" t="str">
        <f aca="true" t="shared" si="0" ref="P3:W3">A3</f>
        <v>Year</v>
      </c>
      <c r="Q3" s="19" t="str">
        <f t="shared" si="0"/>
        <v>White, NH</v>
      </c>
      <c r="R3" s="19" t="str">
        <f t="shared" si="0"/>
        <v>Black, NH</v>
      </c>
      <c r="S3" s="19" t="str">
        <f t="shared" si="0"/>
        <v>Amerind, NH</v>
      </c>
      <c r="T3" s="19" t="str">
        <f t="shared" si="0"/>
        <v>Asian/PI, NH</v>
      </c>
      <c r="U3" s="19" t="str">
        <f t="shared" si="0"/>
        <v>Hisp, All</v>
      </c>
      <c r="V3" s="19" t="str">
        <f t="shared" si="0"/>
        <v>Race/Hisp NK</v>
      </c>
      <c r="W3" s="19" t="str">
        <f t="shared" si="0"/>
        <v>Total</v>
      </c>
      <c r="Z3" s="20" t="s">
        <v>25</v>
      </c>
      <c r="AA3" s="19" t="s">
        <v>11</v>
      </c>
      <c r="AB3" s="19" t="s">
        <v>12</v>
      </c>
      <c r="AC3" s="19" t="s">
        <v>28</v>
      </c>
      <c r="AD3" s="19" t="s">
        <v>29</v>
      </c>
      <c r="AE3" s="19" t="s">
        <v>26</v>
      </c>
      <c r="AF3" s="19" t="s">
        <v>27</v>
      </c>
      <c r="AG3" s="19" t="s">
        <v>13</v>
      </c>
      <c r="AJ3" s="20" t="s">
        <v>25</v>
      </c>
      <c r="AK3" s="19" t="s">
        <v>11</v>
      </c>
      <c r="AL3" s="19" t="s">
        <v>12</v>
      </c>
      <c r="AM3" s="19" t="s">
        <v>28</v>
      </c>
      <c r="AN3" s="19" t="s">
        <v>29</v>
      </c>
      <c r="AO3" s="19" t="s">
        <v>26</v>
      </c>
      <c r="AP3" s="19" t="s">
        <v>27</v>
      </c>
      <c r="AQ3" s="19" t="s">
        <v>13</v>
      </c>
      <c r="AR3" s="19" t="s">
        <v>30</v>
      </c>
    </row>
    <row r="4" spans="1:44" ht="12.75">
      <c r="A4" s="9">
        <v>1983</v>
      </c>
      <c r="B4">
        <v>1071</v>
      </c>
      <c r="C4">
        <v>364</v>
      </c>
      <c r="D4">
        <v>21</v>
      </c>
      <c r="E4">
        <v>4</v>
      </c>
      <c r="F4">
        <v>476</v>
      </c>
      <c r="G4" s="32" t="s">
        <v>39</v>
      </c>
      <c r="H4" s="2">
        <f>SUM(B4:G4)</f>
        <v>1936</v>
      </c>
      <c r="J4" s="9">
        <v>1983</v>
      </c>
      <c r="K4" s="2">
        <f>B4</f>
        <v>1071</v>
      </c>
      <c r="L4" s="2">
        <f>C4</f>
        <v>364</v>
      </c>
      <c r="M4" s="2">
        <f aca="true" t="shared" si="1" ref="M4:M21">N4-K4-L4</f>
        <v>501</v>
      </c>
      <c r="N4" s="2">
        <f>H4</f>
        <v>1936</v>
      </c>
      <c r="P4" s="9">
        <f aca="true" t="shared" si="2" ref="P4:P21">A4</f>
        <v>1983</v>
      </c>
      <c r="Q4" s="7">
        <f>(B4/$H4)*100</f>
        <v>55.32024793388429</v>
      </c>
      <c r="R4" s="7">
        <f aca="true" t="shared" si="3" ref="R4:W19">(C4/$H4)*100</f>
        <v>18.801652892561986</v>
      </c>
      <c r="S4" s="7">
        <f t="shared" si="3"/>
        <v>1.084710743801653</v>
      </c>
      <c r="T4" s="7">
        <f t="shared" si="3"/>
        <v>0.2066115702479339</v>
      </c>
      <c r="U4" s="7">
        <f t="shared" si="3"/>
        <v>24.586776859504134</v>
      </c>
      <c r="V4" s="32" t="s">
        <v>39</v>
      </c>
      <c r="W4" s="7">
        <f t="shared" si="3"/>
        <v>100</v>
      </c>
      <c r="Z4" s="9">
        <v>1983</v>
      </c>
      <c r="AA4" s="2">
        <v>2581691</v>
      </c>
      <c r="AB4">
        <v>114105</v>
      </c>
      <c r="AC4" s="2">
        <v>17617</v>
      </c>
      <c r="AD4" s="2">
        <v>41863</v>
      </c>
      <c r="AE4" s="2">
        <v>378353</v>
      </c>
      <c r="AG4">
        <f>SUM(AA4:AE4)</f>
        <v>3133629</v>
      </c>
      <c r="AJ4" s="9">
        <v>1983</v>
      </c>
      <c r="AK4" s="1">
        <f>(B4/AA4)*100000</f>
        <v>41.48443791298029</v>
      </c>
      <c r="AL4" s="1">
        <f aca="true" t="shared" si="4" ref="AL4:AO19">(C4/AB4)*100000</f>
        <v>319.0044257482144</v>
      </c>
      <c r="AM4" s="1">
        <f t="shared" si="4"/>
        <v>119.20304251575183</v>
      </c>
      <c r="AN4" s="1">
        <f t="shared" si="4"/>
        <v>9.554976948618112</v>
      </c>
      <c r="AO4" s="1">
        <f t="shared" si="4"/>
        <v>125.80843815167316</v>
      </c>
      <c r="AP4" s="1"/>
      <c r="AQ4" s="1">
        <f aca="true" t="shared" si="5" ref="AQ4:AQ20">(H4/AG4)*100000</f>
        <v>61.78140424408888</v>
      </c>
      <c r="AR4" s="1">
        <f>(SUM(D4:F4)/SUM(AC4:AE4))*100000</f>
        <v>114.4271902757444</v>
      </c>
    </row>
    <row r="5" spans="1:44" ht="12.75">
      <c r="A5" s="9">
        <v>1984</v>
      </c>
      <c r="B5">
        <v>1019</v>
      </c>
      <c r="C5">
        <v>366</v>
      </c>
      <c r="D5">
        <v>26</v>
      </c>
      <c r="E5">
        <v>6</v>
      </c>
      <c r="F5">
        <v>512</v>
      </c>
      <c r="G5" s="32" t="s">
        <v>39</v>
      </c>
      <c r="H5" s="2">
        <f aca="true" t="shared" si="6" ref="H5:H21">SUM(B5:G5)</f>
        <v>1929</v>
      </c>
      <c r="J5" s="9">
        <v>1984</v>
      </c>
      <c r="K5" s="2">
        <f aca="true" t="shared" si="7" ref="K5:L21">B5</f>
        <v>1019</v>
      </c>
      <c r="L5" s="2">
        <f t="shared" si="7"/>
        <v>366</v>
      </c>
      <c r="M5" s="2">
        <f t="shared" si="1"/>
        <v>544</v>
      </c>
      <c r="N5" s="2">
        <f aca="true" t="shared" si="8" ref="N5:N21">H5</f>
        <v>1929</v>
      </c>
      <c r="P5" s="9">
        <f t="shared" si="2"/>
        <v>1984</v>
      </c>
      <c r="Q5" s="7">
        <f aca="true" t="shared" si="9" ref="Q5:Q21">(B5/$H5)*100</f>
        <v>52.825298081907725</v>
      </c>
      <c r="R5" s="7">
        <f t="shared" si="3"/>
        <v>18.973561430793158</v>
      </c>
      <c r="S5" s="7">
        <f t="shared" si="3"/>
        <v>1.347848626231208</v>
      </c>
      <c r="T5" s="7">
        <f t="shared" si="3"/>
        <v>0.3110419906687403</v>
      </c>
      <c r="U5" s="7">
        <f t="shared" si="3"/>
        <v>26.54224987039917</v>
      </c>
      <c r="V5" s="32" t="s">
        <v>39</v>
      </c>
      <c r="W5" s="7">
        <f t="shared" si="3"/>
        <v>100</v>
      </c>
      <c r="Z5" s="9">
        <v>1984</v>
      </c>
      <c r="AA5" s="2">
        <v>2604945</v>
      </c>
      <c r="AB5">
        <v>116754</v>
      </c>
      <c r="AC5">
        <v>18297</v>
      </c>
      <c r="AD5">
        <v>44309</v>
      </c>
      <c r="AE5" s="2">
        <v>385686</v>
      </c>
      <c r="AG5">
        <f aca="true" t="shared" si="10" ref="AG5:AG20">SUM(AA5:AE5)</f>
        <v>3169991</v>
      </c>
      <c r="AJ5" s="9">
        <v>1984</v>
      </c>
      <c r="AK5" s="1">
        <f aca="true" t="shared" si="11" ref="AK5:AK20">(B5/AA5)*100000</f>
        <v>39.11790843952559</v>
      </c>
      <c r="AL5" s="1">
        <f t="shared" si="4"/>
        <v>313.4796238244514</v>
      </c>
      <c r="AM5" s="1">
        <f t="shared" si="4"/>
        <v>142.099797781057</v>
      </c>
      <c r="AN5" s="1">
        <f t="shared" si="4"/>
        <v>13.541267011216682</v>
      </c>
      <c r="AO5" s="1">
        <f t="shared" si="4"/>
        <v>132.75047577563095</v>
      </c>
      <c r="AP5" s="1"/>
      <c r="AQ5" s="1">
        <f t="shared" si="5"/>
        <v>60.85190778144165</v>
      </c>
      <c r="AR5" s="1">
        <f aca="true" t="shared" si="12" ref="AR5:AR20">(SUM(D5:F5)/SUM(AC5:AE5))*100000</f>
        <v>121.34947757265354</v>
      </c>
    </row>
    <row r="6" spans="1:44" ht="12.75">
      <c r="A6" s="9">
        <v>1985</v>
      </c>
      <c r="B6">
        <v>1196</v>
      </c>
      <c r="C6">
        <v>424</v>
      </c>
      <c r="D6">
        <v>30</v>
      </c>
      <c r="E6">
        <v>8</v>
      </c>
      <c r="F6">
        <v>512</v>
      </c>
      <c r="G6" s="32" t="s">
        <v>39</v>
      </c>
      <c r="H6" s="2">
        <f t="shared" si="6"/>
        <v>2170</v>
      </c>
      <c r="J6" s="9">
        <v>1985</v>
      </c>
      <c r="K6" s="2">
        <f t="shared" si="7"/>
        <v>1196</v>
      </c>
      <c r="L6" s="2">
        <f t="shared" si="7"/>
        <v>424</v>
      </c>
      <c r="M6" s="2">
        <f t="shared" si="1"/>
        <v>550</v>
      </c>
      <c r="N6" s="2">
        <f t="shared" si="8"/>
        <v>2170</v>
      </c>
      <c r="P6" s="9">
        <f t="shared" si="2"/>
        <v>1985</v>
      </c>
      <c r="Q6" s="7">
        <f t="shared" si="9"/>
        <v>55.11520737327189</v>
      </c>
      <c r="R6" s="7">
        <f t="shared" si="3"/>
        <v>19.53917050691244</v>
      </c>
      <c r="S6" s="7">
        <f t="shared" si="3"/>
        <v>1.3824884792626728</v>
      </c>
      <c r="T6" s="7">
        <f t="shared" si="3"/>
        <v>0.3686635944700461</v>
      </c>
      <c r="U6" s="7">
        <f t="shared" si="3"/>
        <v>23.59447004608295</v>
      </c>
      <c r="V6" s="32" t="s">
        <v>39</v>
      </c>
      <c r="W6" s="7">
        <f t="shared" si="3"/>
        <v>100</v>
      </c>
      <c r="Z6" s="9">
        <v>1985</v>
      </c>
      <c r="AA6" s="2">
        <v>2629537</v>
      </c>
      <c r="AB6">
        <v>120330</v>
      </c>
      <c r="AC6" s="2">
        <v>19016</v>
      </c>
      <c r="AD6" s="2">
        <v>46856</v>
      </c>
      <c r="AE6" s="2">
        <v>392984</v>
      </c>
      <c r="AG6">
        <f t="shared" si="10"/>
        <v>3208723</v>
      </c>
      <c r="AJ6" s="9">
        <v>1985</v>
      </c>
      <c r="AK6" s="1">
        <f t="shared" si="11"/>
        <v>45.48329230583179</v>
      </c>
      <c r="AL6" s="1">
        <f t="shared" si="4"/>
        <v>352.36433142192305</v>
      </c>
      <c r="AM6" s="1">
        <f t="shared" si="4"/>
        <v>157.76188472864956</v>
      </c>
      <c r="AN6" s="1">
        <f t="shared" si="4"/>
        <v>17.073587160662456</v>
      </c>
      <c r="AO6" s="1">
        <f t="shared" si="4"/>
        <v>130.28520245099037</v>
      </c>
      <c r="AP6" s="1"/>
      <c r="AQ6" s="1">
        <f t="shared" si="5"/>
        <v>67.6281498901588</v>
      </c>
      <c r="AR6" s="1">
        <f t="shared" si="12"/>
        <v>119.86331223739037</v>
      </c>
    </row>
    <row r="7" spans="1:44" ht="12.75">
      <c r="A7" s="9">
        <v>1986</v>
      </c>
      <c r="B7">
        <v>1372</v>
      </c>
      <c r="C7">
        <v>516</v>
      </c>
      <c r="D7">
        <v>21</v>
      </c>
      <c r="E7">
        <v>3</v>
      </c>
      <c r="F7">
        <v>614</v>
      </c>
      <c r="G7" s="32" t="s">
        <v>39</v>
      </c>
      <c r="H7" s="2">
        <f t="shared" si="6"/>
        <v>2526</v>
      </c>
      <c r="J7" s="9">
        <v>1986</v>
      </c>
      <c r="K7" s="2">
        <f t="shared" si="7"/>
        <v>1372</v>
      </c>
      <c r="L7" s="2">
        <f t="shared" si="7"/>
        <v>516</v>
      </c>
      <c r="M7" s="2">
        <f t="shared" si="1"/>
        <v>638</v>
      </c>
      <c r="N7" s="2">
        <f t="shared" si="8"/>
        <v>2526</v>
      </c>
      <c r="P7" s="9">
        <f t="shared" si="2"/>
        <v>1986</v>
      </c>
      <c r="Q7" s="7">
        <f t="shared" si="9"/>
        <v>54.315122723673795</v>
      </c>
      <c r="R7" s="7">
        <f t="shared" si="3"/>
        <v>20.42755344418052</v>
      </c>
      <c r="S7" s="7">
        <f t="shared" si="3"/>
        <v>0.831353919239905</v>
      </c>
      <c r="T7" s="7">
        <f t="shared" si="3"/>
        <v>0.11876484560570072</v>
      </c>
      <c r="U7" s="7">
        <f t="shared" si="3"/>
        <v>24.307205067300078</v>
      </c>
      <c r="V7" s="32" t="s">
        <v>39</v>
      </c>
      <c r="W7" s="7">
        <f t="shared" si="3"/>
        <v>100</v>
      </c>
      <c r="Z7" s="9">
        <v>1986</v>
      </c>
      <c r="AA7" s="2">
        <v>2646030</v>
      </c>
      <c r="AB7">
        <v>122893</v>
      </c>
      <c r="AC7">
        <v>19693</v>
      </c>
      <c r="AD7" s="2">
        <v>49230</v>
      </c>
      <c r="AE7" s="2">
        <v>399604</v>
      </c>
      <c r="AG7">
        <f t="shared" si="10"/>
        <v>3237450</v>
      </c>
      <c r="AJ7" s="9">
        <v>1986</v>
      </c>
      <c r="AK7" s="1">
        <f t="shared" si="11"/>
        <v>51.85126396904041</v>
      </c>
      <c r="AL7" s="1">
        <f t="shared" si="4"/>
        <v>419.8774543708755</v>
      </c>
      <c r="AM7" s="1">
        <f t="shared" si="4"/>
        <v>106.63687604732647</v>
      </c>
      <c r="AN7" s="1">
        <f t="shared" si="4"/>
        <v>6.093845216331505</v>
      </c>
      <c r="AO7" s="1">
        <f t="shared" si="4"/>
        <v>153.6521155944385</v>
      </c>
      <c r="AP7" s="1"/>
      <c r="AQ7" s="1">
        <f t="shared" si="5"/>
        <v>78.02437103275726</v>
      </c>
      <c r="AR7" s="1">
        <f t="shared" si="12"/>
        <v>136.17144796351118</v>
      </c>
    </row>
    <row r="8" spans="1:44" ht="12.75">
      <c r="A8" s="9">
        <v>1987</v>
      </c>
      <c r="B8">
        <v>1569</v>
      </c>
      <c r="C8">
        <v>619</v>
      </c>
      <c r="D8">
        <v>32</v>
      </c>
      <c r="E8">
        <v>5</v>
      </c>
      <c r="F8">
        <v>743</v>
      </c>
      <c r="G8" s="32" t="s">
        <v>39</v>
      </c>
      <c r="H8" s="2">
        <f t="shared" si="6"/>
        <v>2968</v>
      </c>
      <c r="J8" s="9">
        <v>1987</v>
      </c>
      <c r="K8" s="2">
        <f t="shared" si="7"/>
        <v>1569</v>
      </c>
      <c r="L8" s="2">
        <f t="shared" si="7"/>
        <v>619</v>
      </c>
      <c r="M8" s="2">
        <f t="shared" si="1"/>
        <v>780</v>
      </c>
      <c r="N8" s="2">
        <f t="shared" si="8"/>
        <v>2968</v>
      </c>
      <c r="P8" s="9">
        <f t="shared" si="2"/>
        <v>1987</v>
      </c>
      <c r="Q8" s="7">
        <f t="shared" si="9"/>
        <v>52.86388140161725</v>
      </c>
      <c r="R8" s="7">
        <f t="shared" si="3"/>
        <v>20.855795148247978</v>
      </c>
      <c r="S8" s="7">
        <f t="shared" si="3"/>
        <v>1.078167115902965</v>
      </c>
      <c r="T8" s="7">
        <f t="shared" si="3"/>
        <v>0.1684636118598383</v>
      </c>
      <c r="U8" s="7">
        <f t="shared" si="3"/>
        <v>25.03369272237197</v>
      </c>
      <c r="V8" s="32" t="s">
        <v>39</v>
      </c>
      <c r="W8" s="7">
        <f t="shared" si="3"/>
        <v>100</v>
      </c>
      <c r="Z8" s="9">
        <v>1987</v>
      </c>
      <c r="AA8" s="2">
        <v>2656720</v>
      </c>
      <c r="AB8">
        <v>125103</v>
      </c>
      <c r="AC8">
        <v>20361</v>
      </c>
      <c r="AD8" s="2">
        <v>51281</v>
      </c>
      <c r="AE8" s="2">
        <v>407015</v>
      </c>
      <c r="AG8">
        <f t="shared" si="10"/>
        <v>3260480</v>
      </c>
      <c r="AJ8" s="9">
        <v>1987</v>
      </c>
      <c r="AK8" s="1">
        <f t="shared" si="11"/>
        <v>59.057785540064444</v>
      </c>
      <c r="AL8" s="1">
        <f t="shared" si="4"/>
        <v>494.7922911520907</v>
      </c>
      <c r="AM8" s="1">
        <f t="shared" si="4"/>
        <v>157.16320416482492</v>
      </c>
      <c r="AN8" s="1">
        <f t="shared" si="4"/>
        <v>9.750199879097522</v>
      </c>
      <c r="AO8" s="1">
        <f t="shared" si="4"/>
        <v>182.54855472157047</v>
      </c>
      <c r="AP8" s="1"/>
      <c r="AQ8" s="1">
        <f t="shared" si="5"/>
        <v>91.02954166257729</v>
      </c>
      <c r="AR8" s="1">
        <f t="shared" si="12"/>
        <v>162.95593713243514</v>
      </c>
    </row>
    <row r="9" spans="1:44" ht="12.75">
      <c r="A9" s="9">
        <v>1988</v>
      </c>
      <c r="B9">
        <v>1302</v>
      </c>
      <c r="C9">
        <v>565</v>
      </c>
      <c r="D9">
        <v>28</v>
      </c>
      <c r="E9">
        <v>6</v>
      </c>
      <c r="F9">
        <v>657</v>
      </c>
      <c r="G9" s="32" t="s">
        <v>39</v>
      </c>
      <c r="H9" s="2">
        <f t="shared" si="6"/>
        <v>2558</v>
      </c>
      <c r="J9" s="9">
        <v>1988</v>
      </c>
      <c r="K9" s="2">
        <f t="shared" si="7"/>
        <v>1302</v>
      </c>
      <c r="L9" s="2">
        <f t="shared" si="7"/>
        <v>565</v>
      </c>
      <c r="M9" s="2">
        <f t="shared" si="1"/>
        <v>691</v>
      </c>
      <c r="N9" s="2">
        <f t="shared" si="8"/>
        <v>2558</v>
      </c>
      <c r="P9" s="9">
        <f t="shared" si="2"/>
        <v>1988</v>
      </c>
      <c r="Q9" s="7">
        <f t="shared" si="9"/>
        <v>50.899139953088344</v>
      </c>
      <c r="R9" s="7">
        <f t="shared" si="3"/>
        <v>22.087568412822517</v>
      </c>
      <c r="S9" s="7">
        <f t="shared" si="3"/>
        <v>1.09460516028147</v>
      </c>
      <c r="T9" s="7">
        <f t="shared" si="3"/>
        <v>0.23455824863174357</v>
      </c>
      <c r="U9" s="7">
        <f t="shared" si="3"/>
        <v>25.684128225175918</v>
      </c>
      <c r="V9" s="32" t="s">
        <v>39</v>
      </c>
      <c r="W9" s="7">
        <f t="shared" si="3"/>
        <v>100</v>
      </c>
      <c r="Z9" s="9">
        <v>1988</v>
      </c>
      <c r="AA9" s="2">
        <v>2650229</v>
      </c>
      <c r="AB9">
        <v>125790</v>
      </c>
      <c r="AC9">
        <v>20908</v>
      </c>
      <c r="AD9" s="2">
        <v>53015</v>
      </c>
      <c r="AE9" s="2">
        <v>412338</v>
      </c>
      <c r="AG9">
        <f t="shared" si="10"/>
        <v>3262280</v>
      </c>
      <c r="AJ9" s="9">
        <v>1988</v>
      </c>
      <c r="AK9" s="1">
        <f t="shared" si="11"/>
        <v>49.12783008562656</v>
      </c>
      <c r="AL9" s="1">
        <f t="shared" si="4"/>
        <v>449.16130058033235</v>
      </c>
      <c r="AM9" s="1">
        <f t="shared" si="4"/>
        <v>133.9200306102927</v>
      </c>
      <c r="AN9" s="1">
        <f t="shared" si="4"/>
        <v>11.317551636329341</v>
      </c>
      <c r="AO9" s="1">
        <f t="shared" si="4"/>
        <v>159.33530259156322</v>
      </c>
      <c r="AP9" s="1"/>
      <c r="AQ9" s="1">
        <f t="shared" si="5"/>
        <v>78.41141778142894</v>
      </c>
      <c r="AR9" s="1">
        <f t="shared" si="12"/>
        <v>142.104754442573</v>
      </c>
    </row>
    <row r="10" spans="1:44" ht="12.75">
      <c r="A10" s="9">
        <v>1989</v>
      </c>
      <c r="B10">
        <v>1614</v>
      </c>
      <c r="C10">
        <v>764</v>
      </c>
      <c r="D10">
        <v>33</v>
      </c>
      <c r="E10">
        <v>13</v>
      </c>
      <c r="F10">
        <v>788</v>
      </c>
      <c r="G10" s="32" t="s">
        <v>39</v>
      </c>
      <c r="H10" s="2">
        <f t="shared" si="6"/>
        <v>3212</v>
      </c>
      <c r="J10" s="9">
        <v>1989</v>
      </c>
      <c r="K10" s="2">
        <f t="shared" si="7"/>
        <v>1614</v>
      </c>
      <c r="L10" s="2">
        <f t="shared" si="7"/>
        <v>764</v>
      </c>
      <c r="M10" s="2">
        <f t="shared" si="1"/>
        <v>834</v>
      </c>
      <c r="N10" s="2">
        <f t="shared" si="8"/>
        <v>3212</v>
      </c>
      <c r="P10" s="9">
        <f t="shared" si="2"/>
        <v>1989</v>
      </c>
      <c r="Q10" s="7">
        <f t="shared" si="9"/>
        <v>50.249066002490665</v>
      </c>
      <c r="R10" s="7">
        <f t="shared" si="3"/>
        <v>23.785803237858033</v>
      </c>
      <c r="S10" s="7">
        <f t="shared" si="3"/>
        <v>1.0273972602739725</v>
      </c>
      <c r="T10" s="7">
        <f t="shared" si="3"/>
        <v>0.4047322540473225</v>
      </c>
      <c r="U10" s="7">
        <f t="shared" si="3"/>
        <v>24.533001245330013</v>
      </c>
      <c r="V10" s="32" t="s">
        <v>39</v>
      </c>
      <c r="W10" s="7">
        <f t="shared" si="3"/>
        <v>100</v>
      </c>
      <c r="Z10" s="9">
        <v>1989</v>
      </c>
      <c r="AA10" s="2">
        <v>2653612</v>
      </c>
      <c r="AB10">
        <v>127183</v>
      </c>
      <c r="AC10">
        <v>21546</v>
      </c>
      <c r="AD10" s="2">
        <v>55119</v>
      </c>
      <c r="AE10" s="2">
        <v>418362</v>
      </c>
      <c r="AG10">
        <f t="shared" si="10"/>
        <v>3275822</v>
      </c>
      <c r="AJ10" s="9">
        <v>1989</v>
      </c>
      <c r="AK10" s="1">
        <f t="shared" si="11"/>
        <v>60.822757810863074</v>
      </c>
      <c r="AL10" s="1">
        <f t="shared" si="4"/>
        <v>600.7092142817829</v>
      </c>
      <c r="AM10" s="1">
        <f t="shared" si="4"/>
        <v>153.16067947646894</v>
      </c>
      <c r="AN10" s="1">
        <f t="shared" si="4"/>
        <v>23.585333551044105</v>
      </c>
      <c r="AO10" s="1">
        <f t="shared" si="4"/>
        <v>188.35362676342498</v>
      </c>
      <c r="AP10" s="1"/>
      <c r="AQ10" s="1">
        <f t="shared" si="5"/>
        <v>98.05172564321259</v>
      </c>
      <c r="AR10" s="1">
        <f t="shared" si="12"/>
        <v>168.47565890345373</v>
      </c>
    </row>
    <row r="11" spans="1:44" ht="12.75">
      <c r="A11" s="9">
        <v>1990</v>
      </c>
      <c r="B11">
        <v>1455</v>
      </c>
      <c r="C11">
        <v>684</v>
      </c>
      <c r="D11">
        <v>30</v>
      </c>
      <c r="E11">
        <v>5</v>
      </c>
      <c r="F11">
        <v>778</v>
      </c>
      <c r="G11" s="32" t="s">
        <v>39</v>
      </c>
      <c r="H11" s="2">
        <f t="shared" si="6"/>
        <v>2952</v>
      </c>
      <c r="J11" s="9">
        <v>1990</v>
      </c>
      <c r="K11" s="2">
        <f t="shared" si="7"/>
        <v>1455</v>
      </c>
      <c r="L11" s="2">
        <f t="shared" si="7"/>
        <v>684</v>
      </c>
      <c r="M11" s="2">
        <f t="shared" si="1"/>
        <v>813</v>
      </c>
      <c r="N11" s="2">
        <f t="shared" si="8"/>
        <v>2952</v>
      </c>
      <c r="P11" s="9">
        <f t="shared" si="2"/>
        <v>1990</v>
      </c>
      <c r="Q11" s="7">
        <f t="shared" si="9"/>
        <v>49.28861788617886</v>
      </c>
      <c r="R11" s="7">
        <f t="shared" si="3"/>
        <v>23.170731707317074</v>
      </c>
      <c r="S11" s="7">
        <f t="shared" si="3"/>
        <v>1.0162601626016259</v>
      </c>
      <c r="T11" s="7">
        <f t="shared" si="3"/>
        <v>0.16937669376693767</v>
      </c>
      <c r="U11" s="7">
        <f t="shared" si="3"/>
        <v>26.355013550135503</v>
      </c>
      <c r="V11" s="32" t="s">
        <v>39</v>
      </c>
      <c r="W11" s="7">
        <f t="shared" si="3"/>
        <v>100</v>
      </c>
      <c r="Z11" s="9">
        <v>1990</v>
      </c>
      <c r="AA11" s="2">
        <v>2666442</v>
      </c>
      <c r="AB11">
        <v>129089</v>
      </c>
      <c r="AC11">
        <v>22203</v>
      </c>
      <c r="AD11" s="2">
        <v>57687</v>
      </c>
      <c r="AE11" s="2">
        <v>428441</v>
      </c>
      <c r="AG11">
        <f t="shared" si="10"/>
        <v>3303862</v>
      </c>
      <c r="AJ11" s="9">
        <v>1990</v>
      </c>
      <c r="AK11" s="1">
        <f t="shared" si="11"/>
        <v>54.56709727794566</v>
      </c>
      <c r="AL11" s="1">
        <f t="shared" si="4"/>
        <v>529.8669909907118</v>
      </c>
      <c r="AM11" s="1">
        <f t="shared" si="4"/>
        <v>135.11687609782462</v>
      </c>
      <c r="AN11" s="1">
        <f t="shared" si="4"/>
        <v>8.667464073361415</v>
      </c>
      <c r="AO11" s="1">
        <f t="shared" si="4"/>
        <v>181.58859679629168</v>
      </c>
      <c r="AP11" s="1"/>
      <c r="AQ11" s="1">
        <f t="shared" si="5"/>
        <v>89.34997890347721</v>
      </c>
      <c r="AR11" s="1">
        <f t="shared" si="12"/>
        <v>159.9351603581131</v>
      </c>
    </row>
    <row r="12" spans="1:44" ht="12.75">
      <c r="A12" s="9">
        <v>1991</v>
      </c>
      <c r="B12">
        <v>1390</v>
      </c>
      <c r="C12">
        <v>710</v>
      </c>
      <c r="D12">
        <v>53</v>
      </c>
      <c r="E12">
        <v>16</v>
      </c>
      <c r="F12">
        <v>785</v>
      </c>
      <c r="G12" s="32" t="s">
        <v>39</v>
      </c>
      <c r="H12" s="2">
        <f t="shared" si="6"/>
        <v>2954</v>
      </c>
      <c r="J12" s="9">
        <v>1991</v>
      </c>
      <c r="K12" s="2">
        <f t="shared" si="7"/>
        <v>1390</v>
      </c>
      <c r="L12" s="2">
        <f t="shared" si="7"/>
        <v>710</v>
      </c>
      <c r="M12" s="2">
        <f t="shared" si="1"/>
        <v>854</v>
      </c>
      <c r="N12" s="2">
        <f t="shared" si="8"/>
        <v>2954</v>
      </c>
      <c r="P12" s="9">
        <f t="shared" si="2"/>
        <v>1991</v>
      </c>
      <c r="Q12" s="7">
        <f t="shared" si="9"/>
        <v>47.05484089370346</v>
      </c>
      <c r="R12" s="7">
        <f t="shared" si="3"/>
        <v>24.035206499661477</v>
      </c>
      <c r="S12" s="7">
        <f t="shared" si="3"/>
        <v>1.7941773865944481</v>
      </c>
      <c r="T12" s="7">
        <f t="shared" si="3"/>
        <v>0.5416384563303994</v>
      </c>
      <c r="U12" s="7">
        <f t="shared" si="3"/>
        <v>26.57413676371022</v>
      </c>
      <c r="V12" s="32" t="s">
        <v>39</v>
      </c>
      <c r="W12" s="7">
        <f t="shared" si="3"/>
        <v>100</v>
      </c>
      <c r="Z12" s="9">
        <v>1991</v>
      </c>
      <c r="AA12" s="2">
        <v>2711730</v>
      </c>
      <c r="AB12">
        <v>132939</v>
      </c>
      <c r="AC12">
        <v>22522</v>
      </c>
      <c r="AD12" s="2">
        <v>59820</v>
      </c>
      <c r="AE12" s="2">
        <v>440556</v>
      </c>
      <c r="AG12">
        <f t="shared" si="10"/>
        <v>3367567</v>
      </c>
      <c r="AJ12" s="9">
        <v>1991</v>
      </c>
      <c r="AK12" s="1">
        <f t="shared" si="11"/>
        <v>51.25879051380484</v>
      </c>
      <c r="AL12" s="1">
        <f t="shared" si="4"/>
        <v>534.0795402402606</v>
      </c>
      <c r="AM12" s="1">
        <f t="shared" si="4"/>
        <v>235.32545955066158</v>
      </c>
      <c r="AN12" s="1">
        <f t="shared" si="4"/>
        <v>26.746907388833165</v>
      </c>
      <c r="AO12" s="1">
        <f t="shared" si="4"/>
        <v>178.183931214193</v>
      </c>
      <c r="AP12" s="1"/>
      <c r="AQ12" s="1">
        <f t="shared" si="5"/>
        <v>87.71911590771616</v>
      </c>
      <c r="AR12" s="1">
        <f t="shared" si="12"/>
        <v>163.32057112477003</v>
      </c>
    </row>
    <row r="13" spans="1:44" ht="12.75">
      <c r="A13" s="9">
        <v>1992</v>
      </c>
      <c r="B13">
        <v>1713</v>
      </c>
      <c r="C13">
        <v>856</v>
      </c>
      <c r="D13">
        <v>84</v>
      </c>
      <c r="E13">
        <v>11</v>
      </c>
      <c r="F13">
        <v>937</v>
      </c>
      <c r="G13" s="32" t="s">
        <v>39</v>
      </c>
      <c r="H13" s="2">
        <f t="shared" si="6"/>
        <v>3601</v>
      </c>
      <c r="J13" s="9">
        <v>1992</v>
      </c>
      <c r="K13" s="2">
        <f t="shared" si="7"/>
        <v>1713</v>
      </c>
      <c r="L13" s="2">
        <f t="shared" si="7"/>
        <v>856</v>
      </c>
      <c r="M13" s="2">
        <f t="shared" si="1"/>
        <v>1032</v>
      </c>
      <c r="N13" s="2">
        <f t="shared" si="8"/>
        <v>3601</v>
      </c>
      <c r="P13" s="9">
        <f t="shared" si="2"/>
        <v>1992</v>
      </c>
      <c r="Q13" s="7">
        <f t="shared" si="9"/>
        <v>47.570119411274646</v>
      </c>
      <c r="R13" s="7">
        <f t="shared" si="3"/>
        <v>23.77117467370175</v>
      </c>
      <c r="S13" s="7">
        <f t="shared" si="3"/>
        <v>2.33268536517634</v>
      </c>
      <c r="T13" s="7">
        <f t="shared" si="3"/>
        <v>0.30547070258261594</v>
      </c>
      <c r="U13" s="7">
        <f t="shared" si="3"/>
        <v>26.02054984726465</v>
      </c>
      <c r="V13" s="32" t="s">
        <v>39</v>
      </c>
      <c r="W13" s="7">
        <f t="shared" si="3"/>
        <v>100</v>
      </c>
      <c r="Z13" s="9">
        <v>1992</v>
      </c>
      <c r="AA13" s="2">
        <v>2779309</v>
      </c>
      <c r="AB13">
        <v>136991</v>
      </c>
      <c r="AC13" s="2">
        <v>23154</v>
      </c>
      <c r="AD13" s="2">
        <v>63861</v>
      </c>
      <c r="AE13" s="2">
        <v>456680</v>
      </c>
      <c r="AG13">
        <f t="shared" si="10"/>
        <v>3459995</v>
      </c>
      <c r="AJ13" s="9">
        <v>1992</v>
      </c>
      <c r="AK13" s="1">
        <f t="shared" si="11"/>
        <v>61.6340248601361</v>
      </c>
      <c r="AL13" s="1">
        <f t="shared" si="4"/>
        <v>624.8585673511399</v>
      </c>
      <c r="AM13" s="1">
        <f t="shared" si="4"/>
        <v>362.7882871210158</v>
      </c>
      <c r="AN13" s="1">
        <f t="shared" si="4"/>
        <v>17.224910352171122</v>
      </c>
      <c r="AO13" s="1">
        <f t="shared" si="4"/>
        <v>205.1764911973373</v>
      </c>
      <c r="AP13" s="1"/>
      <c r="AQ13" s="1">
        <f t="shared" si="5"/>
        <v>104.07529490649553</v>
      </c>
      <c r="AR13" s="1">
        <f t="shared" si="12"/>
        <v>189.81230285362196</v>
      </c>
    </row>
    <row r="14" spans="1:44" ht="12.75">
      <c r="A14" s="9">
        <v>1993</v>
      </c>
      <c r="B14">
        <v>1745</v>
      </c>
      <c r="C14">
        <v>955</v>
      </c>
      <c r="D14">
        <v>99</v>
      </c>
      <c r="E14">
        <v>13</v>
      </c>
      <c r="F14">
        <v>985</v>
      </c>
      <c r="G14" s="32" t="s">
        <v>39</v>
      </c>
      <c r="H14" s="2">
        <f t="shared" si="6"/>
        <v>3797</v>
      </c>
      <c r="J14" s="9">
        <v>1993</v>
      </c>
      <c r="K14" s="2">
        <f t="shared" si="7"/>
        <v>1745</v>
      </c>
      <c r="L14" s="2">
        <f t="shared" si="7"/>
        <v>955</v>
      </c>
      <c r="M14" s="2">
        <f t="shared" si="1"/>
        <v>1097</v>
      </c>
      <c r="N14" s="2">
        <f t="shared" si="8"/>
        <v>3797</v>
      </c>
      <c r="P14" s="9">
        <f t="shared" si="2"/>
        <v>1993</v>
      </c>
      <c r="Q14" s="7">
        <f t="shared" si="9"/>
        <v>45.957334737951015</v>
      </c>
      <c r="R14" s="7">
        <f t="shared" si="3"/>
        <v>25.15143534369239</v>
      </c>
      <c r="S14" s="7">
        <f t="shared" si="3"/>
        <v>2.6073215696602583</v>
      </c>
      <c r="T14" s="7">
        <f t="shared" si="3"/>
        <v>0.3423755596523571</v>
      </c>
      <c r="U14" s="7">
        <f t="shared" si="3"/>
        <v>25.94153278904398</v>
      </c>
      <c r="V14" s="32" t="s">
        <v>39</v>
      </c>
      <c r="W14" s="7">
        <f t="shared" si="3"/>
        <v>100</v>
      </c>
      <c r="Z14" s="9">
        <v>1993</v>
      </c>
      <c r="AA14" s="2">
        <v>2851608</v>
      </c>
      <c r="AB14" s="2">
        <v>141047</v>
      </c>
      <c r="AC14" s="2">
        <v>23784</v>
      </c>
      <c r="AD14" s="2">
        <v>67949</v>
      </c>
      <c r="AE14" s="2">
        <v>476496</v>
      </c>
      <c r="AG14">
        <f t="shared" si="10"/>
        <v>3560884</v>
      </c>
      <c r="AJ14" s="9">
        <v>1993</v>
      </c>
      <c r="AK14" s="1">
        <f t="shared" si="11"/>
        <v>61.193544133695795</v>
      </c>
      <c r="AL14" s="1">
        <f t="shared" si="4"/>
        <v>677.0792714485242</v>
      </c>
      <c r="AM14" s="1">
        <f t="shared" si="4"/>
        <v>416.24621594349145</v>
      </c>
      <c r="AN14" s="1">
        <f t="shared" si="4"/>
        <v>19.13199605586543</v>
      </c>
      <c r="AO14" s="1">
        <f t="shared" si="4"/>
        <v>206.71737013532118</v>
      </c>
      <c r="AP14" s="1"/>
      <c r="AQ14" s="1">
        <f t="shared" si="5"/>
        <v>106.63082537931592</v>
      </c>
      <c r="AR14" s="1">
        <f t="shared" si="12"/>
        <v>193.05596863236477</v>
      </c>
    </row>
    <row r="15" spans="1:44" ht="12.75">
      <c r="A15" s="9">
        <v>1994</v>
      </c>
      <c r="B15">
        <v>1722</v>
      </c>
      <c r="C15">
        <v>1043</v>
      </c>
      <c r="D15">
        <v>103</v>
      </c>
      <c r="E15">
        <v>21</v>
      </c>
      <c r="F15">
        <v>1110</v>
      </c>
      <c r="G15" s="32" t="s">
        <v>39</v>
      </c>
      <c r="H15" s="2">
        <f t="shared" si="6"/>
        <v>3999</v>
      </c>
      <c r="J15" s="9">
        <v>1994</v>
      </c>
      <c r="K15" s="2">
        <f t="shared" si="7"/>
        <v>1722</v>
      </c>
      <c r="L15" s="2">
        <f t="shared" si="7"/>
        <v>1043</v>
      </c>
      <c r="M15" s="2">
        <f t="shared" si="1"/>
        <v>1234</v>
      </c>
      <c r="N15" s="2">
        <f t="shared" si="8"/>
        <v>3999</v>
      </c>
      <c r="P15" s="9">
        <f t="shared" si="2"/>
        <v>1994</v>
      </c>
      <c r="Q15" s="7">
        <f t="shared" si="9"/>
        <v>43.060765191297826</v>
      </c>
      <c r="R15" s="7">
        <f t="shared" si="3"/>
        <v>26.081520380095025</v>
      </c>
      <c r="S15" s="7">
        <f t="shared" si="3"/>
        <v>2.5756439109777443</v>
      </c>
      <c r="T15" s="7">
        <f t="shared" si="3"/>
        <v>0.5251312828207052</v>
      </c>
      <c r="U15" s="7">
        <f t="shared" si="3"/>
        <v>27.7569392348087</v>
      </c>
      <c r="V15" s="32" t="s">
        <v>39</v>
      </c>
      <c r="W15" s="7">
        <f t="shared" si="3"/>
        <v>100</v>
      </c>
      <c r="Z15" s="9">
        <v>1994</v>
      </c>
      <c r="AA15" s="2">
        <v>2919546</v>
      </c>
      <c r="AB15" s="2">
        <v>144157</v>
      </c>
      <c r="AC15">
        <v>24206</v>
      </c>
      <c r="AD15" s="2">
        <v>71700</v>
      </c>
      <c r="AE15" s="2">
        <v>494301</v>
      </c>
      <c r="AG15">
        <f t="shared" si="10"/>
        <v>3653910</v>
      </c>
      <c r="AJ15" s="9">
        <v>1994</v>
      </c>
      <c r="AK15" s="1">
        <f t="shared" si="11"/>
        <v>58.98177319350337</v>
      </c>
      <c r="AL15" s="1">
        <f t="shared" si="4"/>
        <v>723.5167213524144</v>
      </c>
      <c r="AM15" s="1">
        <f t="shared" si="4"/>
        <v>425.5143352887714</v>
      </c>
      <c r="AN15" s="1">
        <f t="shared" si="4"/>
        <v>29.288702928870293</v>
      </c>
      <c r="AO15" s="1">
        <f t="shared" si="4"/>
        <v>224.55952951743978</v>
      </c>
      <c r="AP15" s="1"/>
      <c r="AQ15" s="1">
        <f t="shared" si="5"/>
        <v>109.4444033925302</v>
      </c>
      <c r="AR15" s="1">
        <f t="shared" si="12"/>
        <v>209.07918747151422</v>
      </c>
    </row>
    <row r="16" spans="1:44" ht="12.75">
      <c r="A16" s="9">
        <v>1995</v>
      </c>
      <c r="B16">
        <v>1889</v>
      </c>
      <c r="C16">
        <v>1130</v>
      </c>
      <c r="D16">
        <v>107</v>
      </c>
      <c r="E16">
        <v>22</v>
      </c>
      <c r="F16">
        <v>1318</v>
      </c>
      <c r="G16" s="32" t="s">
        <v>39</v>
      </c>
      <c r="H16" s="2">
        <f t="shared" si="6"/>
        <v>4466</v>
      </c>
      <c r="J16" s="9">
        <v>1995</v>
      </c>
      <c r="K16" s="2">
        <f t="shared" si="7"/>
        <v>1889</v>
      </c>
      <c r="L16" s="2">
        <f t="shared" si="7"/>
        <v>1130</v>
      </c>
      <c r="M16" s="2">
        <f t="shared" si="1"/>
        <v>1447</v>
      </c>
      <c r="N16" s="2">
        <f t="shared" si="8"/>
        <v>4466</v>
      </c>
      <c r="P16" s="9">
        <f t="shared" si="2"/>
        <v>1995</v>
      </c>
      <c r="Q16" s="7">
        <f t="shared" si="9"/>
        <v>42.297357814599195</v>
      </c>
      <c r="R16" s="7">
        <f t="shared" si="3"/>
        <v>25.30228392297358</v>
      </c>
      <c r="S16" s="7">
        <f t="shared" si="3"/>
        <v>2.3958799820868784</v>
      </c>
      <c r="T16" s="7">
        <f t="shared" si="3"/>
        <v>0.49261083743842365</v>
      </c>
      <c r="U16" s="7">
        <f t="shared" si="3"/>
        <v>29.511867442901924</v>
      </c>
      <c r="V16" s="32" t="s">
        <v>39</v>
      </c>
      <c r="W16" s="7">
        <f t="shared" si="3"/>
        <v>100</v>
      </c>
      <c r="Z16" s="9">
        <v>1995</v>
      </c>
      <c r="AA16" s="2">
        <v>2977692</v>
      </c>
      <c r="AB16" s="2">
        <v>146048</v>
      </c>
      <c r="AC16" s="2">
        <v>24684</v>
      </c>
      <c r="AD16" s="2">
        <v>75859</v>
      </c>
      <c r="AE16" s="2">
        <v>513778</v>
      </c>
      <c r="AG16">
        <f t="shared" si="10"/>
        <v>3738061</v>
      </c>
      <c r="AJ16" s="9">
        <v>1995</v>
      </c>
      <c r="AK16" s="1">
        <f t="shared" si="11"/>
        <v>63.43839456867937</v>
      </c>
      <c r="AL16" s="1">
        <f t="shared" si="4"/>
        <v>773.7182296231376</v>
      </c>
      <c r="AM16" s="1">
        <f t="shared" si="4"/>
        <v>433.4791767946848</v>
      </c>
      <c r="AN16" s="1">
        <f t="shared" si="4"/>
        <v>29.00117322928064</v>
      </c>
      <c r="AO16" s="1">
        <f t="shared" si="4"/>
        <v>256.5310309121839</v>
      </c>
      <c r="AP16" s="1"/>
      <c r="AQ16" s="1">
        <f t="shared" si="5"/>
        <v>119.47370575279537</v>
      </c>
      <c r="AR16" s="1">
        <f t="shared" si="12"/>
        <v>235.54460941429645</v>
      </c>
    </row>
    <row r="17" spans="1:44" ht="12.75">
      <c r="A17" s="9">
        <v>1996</v>
      </c>
      <c r="B17">
        <v>2136</v>
      </c>
      <c r="C17">
        <v>1186</v>
      </c>
      <c r="D17">
        <v>111</v>
      </c>
      <c r="E17">
        <v>21</v>
      </c>
      <c r="F17">
        <v>1571</v>
      </c>
      <c r="G17" s="32" t="s">
        <v>39</v>
      </c>
      <c r="H17" s="2">
        <f t="shared" si="6"/>
        <v>5025</v>
      </c>
      <c r="J17" s="9">
        <v>1996</v>
      </c>
      <c r="K17" s="2">
        <f t="shared" si="7"/>
        <v>2136</v>
      </c>
      <c r="L17" s="2">
        <f t="shared" si="7"/>
        <v>1186</v>
      </c>
      <c r="M17" s="2">
        <f t="shared" si="1"/>
        <v>1703</v>
      </c>
      <c r="N17" s="2">
        <f t="shared" si="8"/>
        <v>5025</v>
      </c>
      <c r="P17" s="9">
        <f t="shared" si="2"/>
        <v>1996</v>
      </c>
      <c r="Q17" s="7">
        <f t="shared" si="9"/>
        <v>42.507462686567166</v>
      </c>
      <c r="R17" s="7">
        <f t="shared" si="3"/>
        <v>23.601990049751244</v>
      </c>
      <c r="S17" s="7">
        <f t="shared" si="3"/>
        <v>2.208955223880597</v>
      </c>
      <c r="T17" s="7">
        <f t="shared" si="3"/>
        <v>0.417910447761194</v>
      </c>
      <c r="U17" s="7">
        <f t="shared" si="3"/>
        <v>31.2636815920398</v>
      </c>
      <c r="V17" s="32" t="s">
        <v>39</v>
      </c>
      <c r="W17" s="7">
        <f t="shared" si="3"/>
        <v>100</v>
      </c>
      <c r="Z17" s="9">
        <v>1996</v>
      </c>
      <c r="AA17" s="2">
        <v>3026511</v>
      </c>
      <c r="AB17" s="2">
        <v>148233</v>
      </c>
      <c r="AC17" s="2">
        <v>25117</v>
      </c>
      <c r="AD17" s="2">
        <v>79215</v>
      </c>
      <c r="AE17" s="2">
        <v>533640</v>
      </c>
      <c r="AG17">
        <f t="shared" si="10"/>
        <v>3812716</v>
      </c>
      <c r="AJ17" s="9">
        <v>1996</v>
      </c>
      <c r="AK17" s="1">
        <f t="shared" si="11"/>
        <v>70.5763170859118</v>
      </c>
      <c r="AL17" s="1">
        <f t="shared" si="4"/>
        <v>800.091747451647</v>
      </c>
      <c r="AM17" s="1">
        <f t="shared" si="4"/>
        <v>441.9317593661663</v>
      </c>
      <c r="AN17" s="1">
        <f t="shared" si="4"/>
        <v>26.510130657072526</v>
      </c>
      <c r="AO17" s="1">
        <f t="shared" si="4"/>
        <v>294.39322389625966</v>
      </c>
      <c r="AP17" s="1"/>
      <c r="AQ17" s="1">
        <f t="shared" si="5"/>
        <v>131.79581169958632</v>
      </c>
      <c r="AR17" s="1">
        <f t="shared" si="12"/>
        <v>266.93961490472935</v>
      </c>
    </row>
    <row r="18" spans="1:44" ht="12.75">
      <c r="A18" s="9">
        <v>1997</v>
      </c>
      <c r="B18">
        <v>2268</v>
      </c>
      <c r="C18">
        <v>1256</v>
      </c>
      <c r="D18">
        <v>108</v>
      </c>
      <c r="E18">
        <v>25</v>
      </c>
      <c r="F18">
        <v>1566</v>
      </c>
      <c r="G18" s="32" t="s">
        <v>39</v>
      </c>
      <c r="H18" s="2">
        <f t="shared" si="6"/>
        <v>5223</v>
      </c>
      <c r="J18" s="9">
        <v>1997</v>
      </c>
      <c r="K18" s="2">
        <f t="shared" si="7"/>
        <v>2268</v>
      </c>
      <c r="L18" s="2">
        <f t="shared" si="7"/>
        <v>1256</v>
      </c>
      <c r="M18" s="2">
        <f t="shared" si="1"/>
        <v>1699</v>
      </c>
      <c r="N18" s="2">
        <f t="shared" si="8"/>
        <v>5223</v>
      </c>
      <c r="P18" s="9">
        <f t="shared" si="2"/>
        <v>1997</v>
      </c>
      <c r="Q18" s="7">
        <f t="shared" si="9"/>
        <v>43.4233199310741</v>
      </c>
      <c r="R18" s="7">
        <f t="shared" si="3"/>
        <v>24.04748228987172</v>
      </c>
      <c r="S18" s="7">
        <f t="shared" si="3"/>
        <v>2.067777139574957</v>
      </c>
      <c r="T18" s="7">
        <f t="shared" si="3"/>
        <v>0.47865211564235116</v>
      </c>
      <c r="U18" s="7">
        <f t="shared" si="3"/>
        <v>29.982768523836878</v>
      </c>
      <c r="V18" s="32" t="s">
        <v>39</v>
      </c>
      <c r="W18" s="7">
        <f t="shared" si="3"/>
        <v>100</v>
      </c>
      <c r="Z18" s="9">
        <v>1997</v>
      </c>
      <c r="AA18" s="2">
        <v>3075558</v>
      </c>
      <c r="AB18" s="2">
        <v>150906</v>
      </c>
      <c r="AC18" s="2">
        <v>25390</v>
      </c>
      <c r="AD18" s="2">
        <v>83046</v>
      </c>
      <c r="AE18" s="2">
        <v>556393</v>
      </c>
      <c r="AG18">
        <f t="shared" si="10"/>
        <v>3891293</v>
      </c>
      <c r="AJ18" s="9">
        <v>1997</v>
      </c>
      <c r="AK18" s="1">
        <f t="shared" si="11"/>
        <v>73.74271595593385</v>
      </c>
      <c r="AL18" s="1">
        <f t="shared" si="4"/>
        <v>832.3062038620068</v>
      </c>
      <c r="AM18" s="1">
        <f t="shared" si="4"/>
        <v>425.3643166601024</v>
      </c>
      <c r="AN18" s="1">
        <f t="shared" si="4"/>
        <v>30.103797895142453</v>
      </c>
      <c r="AO18" s="1">
        <f t="shared" si="4"/>
        <v>281.4557336271305</v>
      </c>
      <c r="AP18" s="1"/>
      <c r="AQ18" s="1">
        <f t="shared" si="5"/>
        <v>134.222737789213</v>
      </c>
      <c r="AR18" s="1">
        <f t="shared" si="12"/>
        <v>255.55443580228902</v>
      </c>
    </row>
    <row r="19" spans="1:44" ht="12.75">
      <c r="A19" s="9">
        <v>1998</v>
      </c>
      <c r="B19">
        <v>2678</v>
      </c>
      <c r="C19">
        <v>1269</v>
      </c>
      <c r="D19">
        <v>97</v>
      </c>
      <c r="E19">
        <v>28</v>
      </c>
      <c r="F19">
        <v>1679</v>
      </c>
      <c r="G19" s="32" t="s">
        <v>39</v>
      </c>
      <c r="H19" s="2">
        <f t="shared" si="6"/>
        <v>5751</v>
      </c>
      <c r="J19" s="9">
        <v>1998</v>
      </c>
      <c r="K19" s="2">
        <f t="shared" si="7"/>
        <v>2678</v>
      </c>
      <c r="L19" s="2">
        <f t="shared" si="7"/>
        <v>1269</v>
      </c>
      <c r="M19" s="2">
        <f t="shared" si="1"/>
        <v>1804</v>
      </c>
      <c r="N19" s="2">
        <f t="shared" si="8"/>
        <v>5751</v>
      </c>
      <c r="P19" s="9">
        <f t="shared" si="2"/>
        <v>1998</v>
      </c>
      <c r="Q19" s="7">
        <f t="shared" si="9"/>
        <v>46.56581464093201</v>
      </c>
      <c r="R19" s="7">
        <f t="shared" si="3"/>
        <v>22.065727699530516</v>
      </c>
      <c r="S19" s="7">
        <f t="shared" si="3"/>
        <v>1.686663189010607</v>
      </c>
      <c r="T19" s="7">
        <f t="shared" si="3"/>
        <v>0.48687184837419584</v>
      </c>
      <c r="U19" s="7">
        <f t="shared" si="3"/>
        <v>29.19492262215267</v>
      </c>
      <c r="V19" s="32" t="s">
        <v>39</v>
      </c>
      <c r="W19" s="7">
        <f t="shared" si="3"/>
        <v>100</v>
      </c>
      <c r="Z19" s="9">
        <v>1998</v>
      </c>
      <c r="AA19" s="2">
        <v>3122879</v>
      </c>
      <c r="AB19" s="2">
        <v>154615</v>
      </c>
      <c r="AC19" s="2">
        <v>25858</v>
      </c>
      <c r="AD19" s="2">
        <v>87324</v>
      </c>
      <c r="AE19" s="2">
        <v>578291</v>
      </c>
      <c r="AG19">
        <f t="shared" si="10"/>
        <v>3968967</v>
      </c>
      <c r="AJ19" s="9">
        <v>1998</v>
      </c>
      <c r="AK19" s="1">
        <f t="shared" si="11"/>
        <v>85.75420309272309</v>
      </c>
      <c r="AL19" s="1">
        <f t="shared" si="4"/>
        <v>820.7483103191798</v>
      </c>
      <c r="AM19" s="1">
        <f t="shared" si="4"/>
        <v>375.12568644133347</v>
      </c>
      <c r="AN19" s="1">
        <f t="shared" si="4"/>
        <v>32.064495442261006</v>
      </c>
      <c r="AO19" s="1">
        <f t="shared" si="4"/>
        <v>290.338255307449</v>
      </c>
      <c r="AP19" s="1"/>
      <c r="AQ19" s="1">
        <f t="shared" si="5"/>
        <v>144.89916393862686</v>
      </c>
      <c r="AR19" s="1">
        <f t="shared" si="12"/>
        <v>260.89232695998254</v>
      </c>
    </row>
    <row r="20" spans="1:44" ht="12.75">
      <c r="A20" s="9">
        <v>1999</v>
      </c>
      <c r="B20">
        <v>2648</v>
      </c>
      <c r="C20">
        <v>1353</v>
      </c>
      <c r="D20">
        <v>127</v>
      </c>
      <c r="E20">
        <v>36</v>
      </c>
      <c r="F20">
        <v>1723</v>
      </c>
      <c r="G20" s="32" t="s">
        <v>39</v>
      </c>
      <c r="H20" s="2">
        <f t="shared" si="6"/>
        <v>5887</v>
      </c>
      <c r="J20" s="9">
        <v>1999</v>
      </c>
      <c r="K20" s="2">
        <f t="shared" si="7"/>
        <v>2648</v>
      </c>
      <c r="L20" s="2">
        <f t="shared" si="7"/>
        <v>1353</v>
      </c>
      <c r="M20" s="2">
        <f t="shared" si="1"/>
        <v>1886</v>
      </c>
      <c r="N20" s="2">
        <f t="shared" si="8"/>
        <v>5887</v>
      </c>
      <c r="P20" s="9">
        <f t="shared" si="2"/>
        <v>1999</v>
      </c>
      <c r="Q20" s="7">
        <f t="shared" si="9"/>
        <v>44.98046543230848</v>
      </c>
      <c r="R20" s="7">
        <f aca="true" t="shared" si="13" ref="R20:W21">(C20/$H20)*100</f>
        <v>22.982843553592662</v>
      </c>
      <c r="S20" s="7">
        <f t="shared" si="13"/>
        <v>2.157295736368269</v>
      </c>
      <c r="T20" s="7">
        <f t="shared" si="13"/>
        <v>0.6115169016476983</v>
      </c>
      <c r="U20" s="7">
        <f t="shared" si="13"/>
        <v>29.267878376082894</v>
      </c>
      <c r="V20" s="32" t="s">
        <v>39</v>
      </c>
      <c r="W20" s="7">
        <f t="shared" si="13"/>
        <v>100</v>
      </c>
      <c r="Z20" s="9">
        <v>1999</v>
      </c>
      <c r="AA20" s="2">
        <v>3177332</v>
      </c>
      <c r="AB20" s="2">
        <v>157578</v>
      </c>
      <c r="AC20" s="2">
        <v>26340</v>
      </c>
      <c r="AD20" s="2">
        <v>91301</v>
      </c>
      <c r="AE20" s="2">
        <v>603582</v>
      </c>
      <c r="AG20">
        <f t="shared" si="10"/>
        <v>4056133</v>
      </c>
      <c r="AJ20" s="9">
        <v>1999</v>
      </c>
      <c r="AK20" s="1">
        <f t="shared" si="11"/>
        <v>83.34036229138157</v>
      </c>
      <c r="AL20" s="1">
        <f>(C20/AB20)*100000</f>
        <v>858.622396527434</v>
      </c>
      <c r="AM20" s="1">
        <f>(D20/AC20)*100000</f>
        <v>482.1564160971906</v>
      </c>
      <c r="AN20" s="1">
        <f>(E20/AD20)*100000</f>
        <v>39.43001719586861</v>
      </c>
      <c r="AO20" s="1">
        <f>(F20/AE20)*100000</f>
        <v>285.4624558055078</v>
      </c>
      <c r="AP20" s="1"/>
      <c r="AQ20" s="1">
        <f t="shared" si="5"/>
        <v>145.1382388102165</v>
      </c>
      <c r="AR20" s="1">
        <f t="shared" si="12"/>
        <v>261.50025720200273</v>
      </c>
    </row>
    <row r="21" spans="1:23" s="4" customFormat="1" ht="12.75">
      <c r="A21" s="13" t="s">
        <v>13</v>
      </c>
      <c r="B21" s="21">
        <f aca="true" t="shared" si="14" ref="B21:G21">SUM(B4:B20)</f>
        <v>28787</v>
      </c>
      <c r="C21" s="21">
        <f t="shared" si="14"/>
        <v>14060</v>
      </c>
      <c r="D21" s="21">
        <f t="shared" si="14"/>
        <v>1110</v>
      </c>
      <c r="E21" s="21">
        <f t="shared" si="14"/>
        <v>243</v>
      </c>
      <c r="F21" s="21">
        <f t="shared" si="14"/>
        <v>16754</v>
      </c>
      <c r="G21" s="21">
        <f t="shared" si="14"/>
        <v>0</v>
      </c>
      <c r="H21" s="21">
        <f t="shared" si="6"/>
        <v>60954</v>
      </c>
      <c r="J21" s="13" t="s">
        <v>13</v>
      </c>
      <c r="K21" s="21">
        <f t="shared" si="7"/>
        <v>28787</v>
      </c>
      <c r="L21" s="21">
        <f t="shared" si="7"/>
        <v>14060</v>
      </c>
      <c r="M21" s="21">
        <f t="shared" si="1"/>
        <v>18107</v>
      </c>
      <c r="N21" s="21">
        <f t="shared" si="8"/>
        <v>60954</v>
      </c>
      <c r="P21" s="13" t="str">
        <f t="shared" si="2"/>
        <v>Total</v>
      </c>
      <c r="Q21" s="22">
        <f t="shared" si="9"/>
        <v>47.2274173967254</v>
      </c>
      <c r="R21" s="22">
        <f t="shared" si="13"/>
        <v>23.06657479410703</v>
      </c>
      <c r="S21" s="22">
        <f t="shared" si="13"/>
        <v>1.821045378482134</v>
      </c>
      <c r="T21" s="22">
        <f t="shared" si="13"/>
        <v>0.39866128555960234</v>
      </c>
      <c r="U21" s="22">
        <f t="shared" si="13"/>
        <v>27.48630114512583</v>
      </c>
      <c r="V21" s="22">
        <f t="shared" si="13"/>
        <v>0</v>
      </c>
      <c r="W21" s="22">
        <f t="shared" si="13"/>
        <v>100</v>
      </c>
    </row>
    <row r="23" spans="1:44" ht="12.75">
      <c r="A23" s="30" t="str">
        <f>CONCATENATE("New Admissions, All Races: ",$A$1)</f>
        <v>New Admissions, All Races: COLORADO</v>
      </c>
      <c r="B23" s="30"/>
      <c r="C23" s="30"/>
      <c r="D23" s="30"/>
      <c r="E23" s="30"/>
      <c r="F23" s="30"/>
      <c r="G23" s="30"/>
      <c r="H23" s="30"/>
      <c r="J23" s="30" t="str">
        <f>CONCATENATE("New Admissions, BW + Balance: ",$A$1)</f>
        <v>New Admissions, BW + Balance: COLORADO</v>
      </c>
      <c r="K23" s="30"/>
      <c r="L23" s="30"/>
      <c r="M23" s="30"/>
      <c r="N23" s="30"/>
      <c r="P23" s="30" t="str">
        <f>CONCATENATE("Percent of Total, New Admissions by Race: ",$A$1)</f>
        <v>Percent of Total, New Admissions by Race: COLORADO</v>
      </c>
      <c r="Q23" s="30"/>
      <c r="R23" s="30"/>
      <c r="S23" s="30"/>
      <c r="T23" s="30"/>
      <c r="U23" s="30"/>
      <c r="V23" s="30"/>
      <c r="W23" s="30"/>
      <c r="Z23" s="30" t="str">
        <f>CONCATENATE("Total Population, By Race: ",$A$1)</f>
        <v>Total Population, By Race: COLORADO</v>
      </c>
      <c r="AA23" s="30"/>
      <c r="AB23" s="30"/>
      <c r="AC23" s="30"/>
      <c r="AD23" s="30"/>
      <c r="AE23" s="30"/>
      <c r="AF23" s="30"/>
      <c r="AG23" s="30"/>
      <c r="AJ23" s="30" t="str">
        <f>CONCATENATE("New Admissions, per 100,000 By Race: ",$A$1)</f>
        <v>New Admissions, per 100,000 By Race: COLORADO</v>
      </c>
      <c r="AK23" s="30"/>
      <c r="AL23" s="30"/>
      <c r="AM23" s="30"/>
      <c r="AN23" s="30"/>
      <c r="AO23" s="30"/>
      <c r="AP23" s="30"/>
      <c r="AQ23" s="30"/>
      <c r="AR23" s="30"/>
    </row>
    <row r="24" spans="1:44" s="4" customFormat="1" ht="12.75">
      <c r="A24" s="20" t="s">
        <v>25</v>
      </c>
      <c r="B24" s="19" t="s">
        <v>11</v>
      </c>
      <c r="C24" s="19" t="s">
        <v>12</v>
      </c>
      <c r="D24" s="19" t="s">
        <v>28</v>
      </c>
      <c r="E24" s="19" t="s">
        <v>29</v>
      </c>
      <c r="F24" s="19" t="s">
        <v>26</v>
      </c>
      <c r="G24" s="19" t="s">
        <v>27</v>
      </c>
      <c r="H24" s="19" t="s">
        <v>13</v>
      </c>
      <c r="J24" s="20" t="s">
        <v>25</v>
      </c>
      <c r="K24" s="19" t="s">
        <v>11</v>
      </c>
      <c r="L24" s="19" t="s">
        <v>12</v>
      </c>
      <c r="M24" s="19" t="s">
        <v>30</v>
      </c>
      <c r="N24" s="19" t="s">
        <v>13</v>
      </c>
      <c r="P24" s="20" t="str">
        <f>A24</f>
        <v>Year</v>
      </c>
      <c r="Q24" s="19" t="str">
        <f aca="true" t="shared" si="15" ref="Q24:W24">B24</f>
        <v>White, NH</v>
      </c>
      <c r="R24" s="19" t="str">
        <f t="shared" si="15"/>
        <v>Black, NH</v>
      </c>
      <c r="S24" s="19" t="str">
        <f t="shared" si="15"/>
        <v>Amerind, NH</v>
      </c>
      <c r="T24" s="19" t="str">
        <f t="shared" si="15"/>
        <v>Asian/PI, NH</v>
      </c>
      <c r="U24" s="19" t="str">
        <f t="shared" si="15"/>
        <v>Hisp, All</v>
      </c>
      <c r="V24" s="19" t="str">
        <f t="shared" si="15"/>
        <v>Race/Hisp NK</v>
      </c>
      <c r="W24" s="19" t="str">
        <f t="shared" si="15"/>
        <v>Total</v>
      </c>
      <c r="Z24" s="20" t="s">
        <v>25</v>
      </c>
      <c r="AA24" s="19" t="s">
        <v>11</v>
      </c>
      <c r="AB24" s="19" t="s">
        <v>12</v>
      </c>
      <c r="AC24" s="19" t="s">
        <v>28</v>
      </c>
      <c r="AD24" s="19" t="s">
        <v>29</v>
      </c>
      <c r="AE24" s="19" t="s">
        <v>26</v>
      </c>
      <c r="AF24" s="19" t="s">
        <v>27</v>
      </c>
      <c r="AG24" s="19" t="s">
        <v>13</v>
      </c>
      <c r="AJ24" s="20" t="s">
        <v>25</v>
      </c>
      <c r="AK24" s="19" t="s">
        <v>11</v>
      </c>
      <c r="AL24" s="19" t="s">
        <v>12</v>
      </c>
      <c r="AM24" s="19" t="s">
        <v>28</v>
      </c>
      <c r="AN24" s="19" t="s">
        <v>29</v>
      </c>
      <c r="AO24" s="19" t="s">
        <v>26</v>
      </c>
      <c r="AP24" s="19" t="s">
        <v>27</v>
      </c>
      <c r="AQ24" s="19" t="s">
        <v>13</v>
      </c>
      <c r="AR24" s="19" t="s">
        <v>30</v>
      </c>
    </row>
    <row r="25" spans="1:44" ht="12.75">
      <c r="A25" s="9">
        <v>1983</v>
      </c>
      <c r="B25">
        <v>916</v>
      </c>
      <c r="C25">
        <v>288</v>
      </c>
      <c r="D25">
        <v>17</v>
      </c>
      <c r="E25">
        <v>4</v>
      </c>
      <c r="F25">
        <v>390</v>
      </c>
      <c r="G25" s="32" t="s">
        <v>39</v>
      </c>
      <c r="H25" s="2">
        <f>SUM(B25:G25)</f>
        <v>1615</v>
      </c>
      <c r="J25" s="9">
        <v>1983</v>
      </c>
      <c r="K25" s="2">
        <f>B25</f>
        <v>916</v>
      </c>
      <c r="L25" s="2">
        <f>C25</f>
        <v>288</v>
      </c>
      <c r="M25" s="2">
        <f aca="true" t="shared" si="16" ref="M25:M42">N25-K25-L25</f>
        <v>411</v>
      </c>
      <c r="N25" s="2">
        <f>H25</f>
        <v>1615</v>
      </c>
      <c r="P25" s="9">
        <f aca="true" t="shared" si="17" ref="P25:P42">A25</f>
        <v>1983</v>
      </c>
      <c r="Q25" s="2">
        <f>(B25/$H25)*100</f>
        <v>56.71826625386996</v>
      </c>
      <c r="R25" s="2">
        <f aca="true" t="shared" si="18" ref="R25:W40">(C25/$H25)*100</f>
        <v>17.8328173374613</v>
      </c>
      <c r="S25" s="1">
        <f t="shared" si="18"/>
        <v>1.0526315789473684</v>
      </c>
      <c r="T25" s="1">
        <f t="shared" si="18"/>
        <v>0.24767801857585142</v>
      </c>
      <c r="U25" s="1">
        <f t="shared" si="18"/>
        <v>24.148606811145513</v>
      </c>
      <c r="V25" s="32" t="s">
        <v>39</v>
      </c>
      <c r="W25" s="2">
        <f t="shared" si="18"/>
        <v>100</v>
      </c>
      <c r="Z25" s="9">
        <v>1983</v>
      </c>
      <c r="AA25" s="2">
        <f>AA4</f>
        <v>2581691</v>
      </c>
      <c r="AB25" s="2">
        <f>AB4</f>
        <v>114105</v>
      </c>
      <c r="AC25" s="1">
        <f>AC4</f>
        <v>17617</v>
      </c>
      <c r="AD25" s="1">
        <f>AD4</f>
        <v>41863</v>
      </c>
      <c r="AE25" s="1">
        <f>AE4</f>
        <v>378353</v>
      </c>
      <c r="AF25" s="1"/>
      <c r="AG25" s="2">
        <f aca="true" t="shared" si="19" ref="AG25:AG41">AG4</f>
        <v>3133629</v>
      </c>
      <c r="AJ25" s="9">
        <v>1983</v>
      </c>
      <c r="AK25" s="1">
        <f>(B25/AA25)*100000</f>
        <v>35.48062103481787</v>
      </c>
      <c r="AL25" s="1">
        <f aca="true" t="shared" si="20" ref="AL25:AL40">(C25/AB25)*100000</f>
        <v>252.3991060864993</v>
      </c>
      <c r="AM25" s="1">
        <f aca="true" t="shared" si="21" ref="AM25:AM40">(D25/AC25)*100000</f>
        <v>96.49770108418005</v>
      </c>
      <c r="AN25" s="1">
        <f aca="true" t="shared" si="22" ref="AN25:AN40">(E25/AD25)*100000</f>
        <v>9.554976948618112</v>
      </c>
      <c r="AO25" s="1">
        <f aca="true" t="shared" si="23" ref="AO25:AO40">(F25/AE25)*100000</f>
        <v>103.07834218309355</v>
      </c>
      <c r="AP25" s="1"/>
      <c r="AQ25" s="1">
        <f aca="true" t="shared" si="24" ref="AQ25:AQ41">(H25/AG25)*100000</f>
        <v>51.53769000733654</v>
      </c>
      <c r="AR25" s="1">
        <f>(SUM(D25:F25)/SUM(AC25:AE25))*100000</f>
        <v>93.87140759147894</v>
      </c>
    </row>
    <row r="26" spans="1:44" ht="12.75">
      <c r="A26" s="9">
        <v>1984</v>
      </c>
      <c r="B26">
        <v>755</v>
      </c>
      <c r="C26">
        <v>220</v>
      </c>
      <c r="D26">
        <v>16</v>
      </c>
      <c r="E26">
        <v>5</v>
      </c>
      <c r="F26">
        <v>283</v>
      </c>
      <c r="G26" s="32" t="s">
        <v>39</v>
      </c>
      <c r="H26" s="2">
        <f aca="true" t="shared" si="25" ref="H26:H42">SUM(B26:G26)</f>
        <v>1279</v>
      </c>
      <c r="J26" s="9">
        <v>1984</v>
      </c>
      <c r="K26" s="2">
        <f aca="true" t="shared" si="26" ref="K26:L41">B26</f>
        <v>755</v>
      </c>
      <c r="L26" s="2">
        <f t="shared" si="26"/>
        <v>220</v>
      </c>
      <c r="M26" s="2">
        <f t="shared" si="16"/>
        <v>304</v>
      </c>
      <c r="N26" s="2">
        <f aca="true" t="shared" si="27" ref="N26:N41">H26</f>
        <v>1279</v>
      </c>
      <c r="P26" s="9">
        <f t="shared" si="17"/>
        <v>1984</v>
      </c>
      <c r="Q26" s="2">
        <f aca="true" t="shared" si="28" ref="Q26:Q42">(B26/$H26)*100</f>
        <v>59.030492572322125</v>
      </c>
      <c r="R26" s="2">
        <f t="shared" si="18"/>
        <v>17.200938232994528</v>
      </c>
      <c r="S26" s="1">
        <f t="shared" si="18"/>
        <v>1.2509773260359656</v>
      </c>
      <c r="T26" s="1">
        <f t="shared" si="18"/>
        <v>0.3909304143862392</v>
      </c>
      <c r="U26" s="1">
        <f t="shared" si="18"/>
        <v>22.126661454261143</v>
      </c>
      <c r="V26" s="32" t="s">
        <v>39</v>
      </c>
      <c r="W26" s="2">
        <f t="shared" si="18"/>
        <v>100</v>
      </c>
      <c r="Z26" s="9">
        <v>1984</v>
      </c>
      <c r="AA26" s="2">
        <f aca="true" t="shared" si="29" ref="AA26:AE41">AA5</f>
        <v>2604945</v>
      </c>
      <c r="AB26" s="2">
        <f t="shared" si="29"/>
        <v>116754</v>
      </c>
      <c r="AC26" s="1">
        <f t="shared" si="29"/>
        <v>18297</v>
      </c>
      <c r="AD26" s="1">
        <f t="shared" si="29"/>
        <v>44309</v>
      </c>
      <c r="AE26" s="1">
        <f t="shared" si="29"/>
        <v>385686</v>
      </c>
      <c r="AF26" s="1"/>
      <c r="AG26" s="2">
        <f t="shared" si="19"/>
        <v>3169991</v>
      </c>
      <c r="AJ26" s="9">
        <v>1984</v>
      </c>
      <c r="AK26" s="1">
        <f aca="true" t="shared" si="30" ref="AK26:AK41">(B26/AA26)*100000</f>
        <v>28.98333746009992</v>
      </c>
      <c r="AL26" s="1">
        <f t="shared" si="20"/>
        <v>188.43037497644622</v>
      </c>
      <c r="AM26" s="1">
        <f t="shared" si="21"/>
        <v>87.4460294037274</v>
      </c>
      <c r="AN26" s="1">
        <f t="shared" si="22"/>
        <v>11.284389176013903</v>
      </c>
      <c r="AO26" s="1">
        <f t="shared" si="23"/>
        <v>73.37575125879602</v>
      </c>
      <c r="AP26" s="1"/>
      <c r="AQ26" s="1">
        <f t="shared" si="24"/>
        <v>40.34711770475058</v>
      </c>
      <c r="AR26" s="1">
        <f aca="true" t="shared" si="31" ref="AR26:AR41">(SUM(D26:F26)/SUM(AC26:AE26))*100000</f>
        <v>67.81294334942403</v>
      </c>
    </row>
    <row r="27" spans="1:44" ht="12.75">
      <c r="A27" s="9">
        <v>1985</v>
      </c>
      <c r="B27">
        <v>990</v>
      </c>
      <c r="C27">
        <v>316</v>
      </c>
      <c r="D27">
        <v>22</v>
      </c>
      <c r="E27">
        <v>8</v>
      </c>
      <c r="F27">
        <v>403</v>
      </c>
      <c r="G27" s="32" t="s">
        <v>39</v>
      </c>
      <c r="H27" s="2">
        <f t="shared" si="25"/>
        <v>1739</v>
      </c>
      <c r="J27" s="9">
        <v>1985</v>
      </c>
      <c r="K27" s="2">
        <f t="shared" si="26"/>
        <v>990</v>
      </c>
      <c r="L27" s="2">
        <f t="shared" si="26"/>
        <v>316</v>
      </c>
      <c r="M27" s="2">
        <f t="shared" si="16"/>
        <v>433</v>
      </c>
      <c r="N27" s="2">
        <f t="shared" si="27"/>
        <v>1739</v>
      </c>
      <c r="P27" s="9">
        <f t="shared" si="17"/>
        <v>1985</v>
      </c>
      <c r="Q27" s="2">
        <f t="shared" si="28"/>
        <v>56.92926969522715</v>
      </c>
      <c r="R27" s="2">
        <f t="shared" si="18"/>
        <v>18.171362852213914</v>
      </c>
      <c r="S27" s="1">
        <f t="shared" si="18"/>
        <v>1.2650948821161587</v>
      </c>
      <c r="T27" s="1">
        <f t="shared" si="18"/>
        <v>0.46003450258769407</v>
      </c>
      <c r="U27" s="1">
        <f t="shared" si="18"/>
        <v>23.17423806785509</v>
      </c>
      <c r="V27" s="32" t="s">
        <v>39</v>
      </c>
      <c r="W27" s="2">
        <f t="shared" si="18"/>
        <v>100</v>
      </c>
      <c r="Z27" s="9">
        <v>1985</v>
      </c>
      <c r="AA27" s="2">
        <f t="shared" si="29"/>
        <v>2629537</v>
      </c>
      <c r="AB27" s="2">
        <f t="shared" si="29"/>
        <v>120330</v>
      </c>
      <c r="AC27" s="1">
        <f t="shared" si="29"/>
        <v>19016</v>
      </c>
      <c r="AD27" s="1">
        <f t="shared" si="29"/>
        <v>46856</v>
      </c>
      <c r="AE27" s="1">
        <f t="shared" si="29"/>
        <v>392984</v>
      </c>
      <c r="AF27" s="1"/>
      <c r="AG27" s="2">
        <f t="shared" si="19"/>
        <v>3208723</v>
      </c>
      <c r="AJ27" s="9">
        <v>1985</v>
      </c>
      <c r="AK27" s="1">
        <f t="shared" si="30"/>
        <v>37.64921353074705</v>
      </c>
      <c r="AL27" s="1">
        <f t="shared" si="20"/>
        <v>262.6111526635087</v>
      </c>
      <c r="AM27" s="1">
        <f t="shared" si="21"/>
        <v>115.69204880100968</v>
      </c>
      <c r="AN27" s="1">
        <f t="shared" si="22"/>
        <v>17.073587160662456</v>
      </c>
      <c r="AO27" s="1">
        <f t="shared" si="23"/>
        <v>102.54870427294749</v>
      </c>
      <c r="AP27" s="1"/>
      <c r="AQ27" s="1">
        <f t="shared" si="24"/>
        <v>54.196015050224034</v>
      </c>
      <c r="AR27" s="1">
        <f t="shared" si="31"/>
        <v>94.3651167250728</v>
      </c>
    </row>
    <row r="28" spans="1:44" ht="12.75">
      <c r="A28" s="9">
        <v>1986</v>
      </c>
      <c r="B28">
        <v>1104</v>
      </c>
      <c r="C28">
        <v>389</v>
      </c>
      <c r="D28">
        <v>18</v>
      </c>
      <c r="E28">
        <v>3</v>
      </c>
      <c r="F28">
        <v>451</v>
      </c>
      <c r="G28" s="32" t="s">
        <v>39</v>
      </c>
      <c r="H28" s="2">
        <f t="shared" si="25"/>
        <v>1965</v>
      </c>
      <c r="J28" s="9">
        <v>1986</v>
      </c>
      <c r="K28" s="2">
        <f t="shared" si="26"/>
        <v>1104</v>
      </c>
      <c r="L28" s="2">
        <f t="shared" si="26"/>
        <v>389</v>
      </c>
      <c r="M28" s="2">
        <f t="shared" si="16"/>
        <v>472</v>
      </c>
      <c r="N28" s="2">
        <f t="shared" si="27"/>
        <v>1965</v>
      </c>
      <c r="P28" s="9">
        <f t="shared" si="17"/>
        <v>1986</v>
      </c>
      <c r="Q28" s="2">
        <f t="shared" si="28"/>
        <v>56.18320610687023</v>
      </c>
      <c r="R28" s="2">
        <f t="shared" si="18"/>
        <v>19.796437659033078</v>
      </c>
      <c r="S28" s="1">
        <f t="shared" si="18"/>
        <v>0.9160305343511451</v>
      </c>
      <c r="T28" s="1">
        <f t="shared" si="18"/>
        <v>0.15267175572519084</v>
      </c>
      <c r="U28" s="1">
        <f t="shared" si="18"/>
        <v>22.951653944020357</v>
      </c>
      <c r="V28" s="32" t="s">
        <v>39</v>
      </c>
      <c r="W28" s="2">
        <f t="shared" si="18"/>
        <v>100</v>
      </c>
      <c r="Z28" s="9">
        <v>1986</v>
      </c>
      <c r="AA28" s="2">
        <f t="shared" si="29"/>
        <v>2646030</v>
      </c>
      <c r="AB28" s="2">
        <f t="shared" si="29"/>
        <v>122893</v>
      </c>
      <c r="AC28" s="1">
        <f t="shared" si="29"/>
        <v>19693</v>
      </c>
      <c r="AD28" s="1">
        <f t="shared" si="29"/>
        <v>49230</v>
      </c>
      <c r="AE28" s="1">
        <f t="shared" si="29"/>
        <v>399604</v>
      </c>
      <c r="AF28" s="1"/>
      <c r="AG28" s="2">
        <f t="shared" si="19"/>
        <v>3237450</v>
      </c>
      <c r="AJ28" s="9">
        <v>1986</v>
      </c>
      <c r="AK28" s="1">
        <f t="shared" si="30"/>
        <v>41.72288296051065</v>
      </c>
      <c r="AL28" s="1">
        <f t="shared" si="20"/>
        <v>316.5355227718422</v>
      </c>
      <c r="AM28" s="1">
        <f t="shared" si="21"/>
        <v>91.40303661199411</v>
      </c>
      <c r="AN28" s="1">
        <f t="shared" si="22"/>
        <v>6.093845216331505</v>
      </c>
      <c r="AO28" s="1">
        <f t="shared" si="23"/>
        <v>112.86173311578463</v>
      </c>
      <c r="AP28" s="1"/>
      <c r="AQ28" s="1">
        <f t="shared" si="24"/>
        <v>60.69591808367697</v>
      </c>
      <c r="AR28" s="1">
        <f t="shared" si="31"/>
        <v>100.74125930842834</v>
      </c>
    </row>
    <row r="29" spans="1:44" ht="12.75">
      <c r="A29" s="9">
        <v>1987</v>
      </c>
      <c r="B29">
        <v>1233</v>
      </c>
      <c r="C29">
        <v>456</v>
      </c>
      <c r="D29">
        <v>25</v>
      </c>
      <c r="E29">
        <v>3</v>
      </c>
      <c r="F29">
        <v>538</v>
      </c>
      <c r="G29" s="32" t="s">
        <v>39</v>
      </c>
      <c r="H29" s="2">
        <f t="shared" si="25"/>
        <v>2255</v>
      </c>
      <c r="J29" s="9">
        <v>1987</v>
      </c>
      <c r="K29" s="2">
        <f t="shared" si="26"/>
        <v>1233</v>
      </c>
      <c r="L29" s="2">
        <f t="shared" si="26"/>
        <v>456</v>
      </c>
      <c r="M29" s="2">
        <f t="shared" si="16"/>
        <v>566</v>
      </c>
      <c r="N29" s="2">
        <f t="shared" si="27"/>
        <v>2255</v>
      </c>
      <c r="P29" s="9">
        <f t="shared" si="17"/>
        <v>1987</v>
      </c>
      <c r="Q29" s="2">
        <f t="shared" si="28"/>
        <v>54.67849223946784</v>
      </c>
      <c r="R29" s="2">
        <f t="shared" si="18"/>
        <v>20.221729490022174</v>
      </c>
      <c r="S29" s="1">
        <f t="shared" si="18"/>
        <v>1.1086474501108647</v>
      </c>
      <c r="T29" s="1">
        <f t="shared" si="18"/>
        <v>0.13303769401330376</v>
      </c>
      <c r="U29" s="1">
        <f t="shared" si="18"/>
        <v>23.85809312638581</v>
      </c>
      <c r="V29" s="32" t="s">
        <v>39</v>
      </c>
      <c r="W29" s="2">
        <f t="shared" si="18"/>
        <v>100</v>
      </c>
      <c r="Z29" s="9">
        <v>1987</v>
      </c>
      <c r="AA29" s="2">
        <f t="shared" si="29"/>
        <v>2656720</v>
      </c>
      <c r="AB29" s="2">
        <f t="shared" si="29"/>
        <v>125103</v>
      </c>
      <c r="AC29" s="1">
        <f t="shared" si="29"/>
        <v>20361</v>
      </c>
      <c r="AD29" s="1">
        <f t="shared" si="29"/>
        <v>51281</v>
      </c>
      <c r="AE29" s="1">
        <f t="shared" si="29"/>
        <v>407015</v>
      </c>
      <c r="AF29" s="1"/>
      <c r="AG29" s="2">
        <f t="shared" si="19"/>
        <v>3260480</v>
      </c>
      <c r="AJ29" s="9">
        <v>1987</v>
      </c>
      <c r="AK29" s="1">
        <f t="shared" si="30"/>
        <v>46.41061158119787</v>
      </c>
      <c r="AL29" s="1">
        <f t="shared" si="20"/>
        <v>364.49965228651587</v>
      </c>
      <c r="AM29" s="1">
        <f t="shared" si="21"/>
        <v>122.78375325376946</v>
      </c>
      <c r="AN29" s="1">
        <f t="shared" si="22"/>
        <v>5.850119927458513</v>
      </c>
      <c r="AO29" s="1">
        <f t="shared" si="23"/>
        <v>132.1818606193875</v>
      </c>
      <c r="AP29" s="1"/>
      <c r="AQ29" s="1">
        <f t="shared" si="24"/>
        <v>69.16159583864952</v>
      </c>
      <c r="AR29" s="1">
        <f t="shared" si="31"/>
        <v>118.24751335507472</v>
      </c>
    </row>
    <row r="30" spans="1:44" ht="12.75">
      <c r="A30" s="9">
        <v>1988</v>
      </c>
      <c r="B30">
        <v>1062</v>
      </c>
      <c r="C30">
        <v>447</v>
      </c>
      <c r="D30">
        <v>23</v>
      </c>
      <c r="E30">
        <v>4</v>
      </c>
      <c r="F30">
        <v>511</v>
      </c>
      <c r="G30" s="32" t="s">
        <v>39</v>
      </c>
      <c r="H30" s="2">
        <f t="shared" si="25"/>
        <v>2047</v>
      </c>
      <c r="J30" s="9">
        <v>1988</v>
      </c>
      <c r="K30" s="2">
        <f t="shared" si="26"/>
        <v>1062</v>
      </c>
      <c r="L30" s="2">
        <f t="shared" si="26"/>
        <v>447</v>
      </c>
      <c r="M30" s="2">
        <f t="shared" si="16"/>
        <v>538</v>
      </c>
      <c r="N30" s="2">
        <f t="shared" si="27"/>
        <v>2047</v>
      </c>
      <c r="P30" s="9">
        <f t="shared" si="17"/>
        <v>1988</v>
      </c>
      <c r="Q30" s="2">
        <f t="shared" si="28"/>
        <v>51.88080117244749</v>
      </c>
      <c r="R30" s="2">
        <f t="shared" si="18"/>
        <v>21.836834391792866</v>
      </c>
      <c r="S30" s="1">
        <f t="shared" si="18"/>
        <v>1.1235955056179776</v>
      </c>
      <c r="T30" s="1">
        <f t="shared" si="18"/>
        <v>0.19540791402051783</v>
      </c>
      <c r="U30" s="1">
        <f t="shared" si="18"/>
        <v>24.96336101612115</v>
      </c>
      <c r="V30" s="32" t="s">
        <v>39</v>
      </c>
      <c r="W30" s="2">
        <f t="shared" si="18"/>
        <v>100</v>
      </c>
      <c r="Z30" s="9">
        <v>1988</v>
      </c>
      <c r="AA30" s="2">
        <f t="shared" si="29"/>
        <v>2650229</v>
      </c>
      <c r="AB30" s="2">
        <f t="shared" si="29"/>
        <v>125790</v>
      </c>
      <c r="AC30" s="1">
        <f t="shared" si="29"/>
        <v>20908</v>
      </c>
      <c r="AD30" s="1">
        <f t="shared" si="29"/>
        <v>53015</v>
      </c>
      <c r="AE30" s="1">
        <f t="shared" si="29"/>
        <v>412338</v>
      </c>
      <c r="AF30" s="1"/>
      <c r="AG30" s="2">
        <f t="shared" si="19"/>
        <v>3262280</v>
      </c>
      <c r="AJ30" s="9">
        <v>1988</v>
      </c>
      <c r="AK30" s="1">
        <f t="shared" si="30"/>
        <v>40.07200887168619</v>
      </c>
      <c r="AL30" s="1">
        <f t="shared" si="20"/>
        <v>355.3541616980682</v>
      </c>
      <c r="AM30" s="1">
        <f t="shared" si="21"/>
        <v>110.00573942988329</v>
      </c>
      <c r="AN30" s="1">
        <f t="shared" si="22"/>
        <v>7.54503442421956</v>
      </c>
      <c r="AO30" s="1">
        <f t="shared" si="23"/>
        <v>123.92745757121585</v>
      </c>
      <c r="AP30" s="1"/>
      <c r="AQ30" s="1">
        <f t="shared" si="24"/>
        <v>62.7475262699707</v>
      </c>
      <c r="AR30" s="1">
        <f t="shared" si="31"/>
        <v>110.64017060796569</v>
      </c>
    </row>
    <row r="31" spans="1:44" ht="12.75">
      <c r="A31" s="9">
        <v>1989</v>
      </c>
      <c r="B31">
        <v>1354</v>
      </c>
      <c r="C31">
        <v>646</v>
      </c>
      <c r="D31">
        <v>28</v>
      </c>
      <c r="E31">
        <v>13</v>
      </c>
      <c r="F31">
        <v>620</v>
      </c>
      <c r="G31" s="32" t="s">
        <v>39</v>
      </c>
      <c r="H31" s="2">
        <f t="shared" si="25"/>
        <v>2661</v>
      </c>
      <c r="J31" s="9">
        <v>1989</v>
      </c>
      <c r="K31" s="2">
        <f t="shared" si="26"/>
        <v>1354</v>
      </c>
      <c r="L31" s="2">
        <f t="shared" si="26"/>
        <v>646</v>
      </c>
      <c r="M31" s="2">
        <f t="shared" si="16"/>
        <v>661</v>
      </c>
      <c r="N31" s="2">
        <f t="shared" si="27"/>
        <v>2661</v>
      </c>
      <c r="P31" s="9">
        <f t="shared" si="17"/>
        <v>1989</v>
      </c>
      <c r="Q31" s="2">
        <f t="shared" si="28"/>
        <v>50.88312664411875</v>
      </c>
      <c r="R31" s="2">
        <f t="shared" si="18"/>
        <v>24.276587748966556</v>
      </c>
      <c r="S31" s="1">
        <f t="shared" si="18"/>
        <v>1.0522360015031942</v>
      </c>
      <c r="T31" s="1">
        <f t="shared" si="18"/>
        <v>0.4885381435550545</v>
      </c>
      <c r="U31" s="1">
        <f t="shared" si="18"/>
        <v>23.299511461856444</v>
      </c>
      <c r="V31" s="32" t="s">
        <v>39</v>
      </c>
      <c r="W31" s="2">
        <f t="shared" si="18"/>
        <v>100</v>
      </c>
      <c r="Z31" s="9">
        <v>1989</v>
      </c>
      <c r="AA31" s="2">
        <f t="shared" si="29"/>
        <v>2653612</v>
      </c>
      <c r="AB31" s="2">
        <f t="shared" si="29"/>
        <v>127183</v>
      </c>
      <c r="AC31" s="1">
        <f t="shared" si="29"/>
        <v>21546</v>
      </c>
      <c r="AD31" s="1">
        <f t="shared" si="29"/>
        <v>55119</v>
      </c>
      <c r="AE31" s="1">
        <f t="shared" si="29"/>
        <v>418362</v>
      </c>
      <c r="AF31" s="1"/>
      <c r="AG31" s="2">
        <f t="shared" si="19"/>
        <v>3275822</v>
      </c>
      <c r="AJ31" s="9">
        <v>1989</v>
      </c>
      <c r="AK31" s="1">
        <f t="shared" si="30"/>
        <v>51.02479186859269</v>
      </c>
      <c r="AL31" s="1">
        <f t="shared" si="20"/>
        <v>507.9295188822406</v>
      </c>
      <c r="AM31" s="1">
        <f t="shared" si="21"/>
        <v>129.9545159194282</v>
      </c>
      <c r="AN31" s="1">
        <f t="shared" si="22"/>
        <v>23.585333551044105</v>
      </c>
      <c r="AO31" s="1">
        <f t="shared" si="23"/>
        <v>148.197015981375</v>
      </c>
      <c r="AP31" s="1"/>
      <c r="AQ31" s="1">
        <f t="shared" si="24"/>
        <v>81.23151990553822</v>
      </c>
      <c r="AR31" s="1">
        <f t="shared" si="31"/>
        <v>133.52807018607066</v>
      </c>
    </row>
    <row r="32" spans="1:44" ht="12.75">
      <c r="A32" s="9">
        <v>1990</v>
      </c>
      <c r="B32">
        <v>1161</v>
      </c>
      <c r="C32">
        <v>502</v>
      </c>
      <c r="D32">
        <v>22</v>
      </c>
      <c r="E32">
        <v>5</v>
      </c>
      <c r="F32">
        <v>590</v>
      </c>
      <c r="G32" s="32" t="s">
        <v>39</v>
      </c>
      <c r="H32" s="2">
        <f t="shared" si="25"/>
        <v>2280</v>
      </c>
      <c r="J32" s="9">
        <v>1990</v>
      </c>
      <c r="K32" s="2">
        <f t="shared" si="26"/>
        <v>1161</v>
      </c>
      <c r="L32" s="2">
        <f t="shared" si="26"/>
        <v>502</v>
      </c>
      <c r="M32" s="2">
        <f t="shared" si="16"/>
        <v>617</v>
      </c>
      <c r="N32" s="2">
        <f t="shared" si="27"/>
        <v>2280</v>
      </c>
      <c r="P32" s="9">
        <f t="shared" si="17"/>
        <v>1990</v>
      </c>
      <c r="Q32" s="2">
        <f t="shared" si="28"/>
        <v>50.921052631578945</v>
      </c>
      <c r="R32" s="2">
        <f t="shared" si="18"/>
        <v>22.017543859649123</v>
      </c>
      <c r="S32" s="1">
        <f t="shared" si="18"/>
        <v>0.9649122807017544</v>
      </c>
      <c r="T32" s="1">
        <f t="shared" si="18"/>
        <v>0.21929824561403508</v>
      </c>
      <c r="U32" s="1">
        <f t="shared" si="18"/>
        <v>25.877192982456144</v>
      </c>
      <c r="V32" s="32" t="s">
        <v>39</v>
      </c>
      <c r="W32" s="2">
        <f t="shared" si="18"/>
        <v>100</v>
      </c>
      <c r="Z32" s="9">
        <v>1990</v>
      </c>
      <c r="AA32" s="2">
        <f t="shared" si="29"/>
        <v>2666442</v>
      </c>
      <c r="AB32" s="2">
        <f t="shared" si="29"/>
        <v>129089</v>
      </c>
      <c r="AC32" s="1">
        <f t="shared" si="29"/>
        <v>22203</v>
      </c>
      <c r="AD32" s="1">
        <f t="shared" si="29"/>
        <v>57687</v>
      </c>
      <c r="AE32" s="1">
        <f t="shared" si="29"/>
        <v>428441</v>
      </c>
      <c r="AF32" s="1"/>
      <c r="AG32" s="2">
        <f t="shared" si="19"/>
        <v>3303862</v>
      </c>
      <c r="AJ32" s="9">
        <v>1990</v>
      </c>
      <c r="AK32" s="1">
        <f t="shared" si="30"/>
        <v>43.541168343432936</v>
      </c>
      <c r="AL32" s="1">
        <f t="shared" si="20"/>
        <v>388.87899046394347</v>
      </c>
      <c r="AM32" s="1">
        <f t="shared" si="21"/>
        <v>99.08570913840472</v>
      </c>
      <c r="AN32" s="1">
        <f t="shared" si="22"/>
        <v>8.667464073361415</v>
      </c>
      <c r="AO32" s="1">
        <f t="shared" si="23"/>
        <v>137.70857597662223</v>
      </c>
      <c r="AP32" s="1"/>
      <c r="AQ32" s="1">
        <f t="shared" si="24"/>
        <v>69.01014630756369</v>
      </c>
      <c r="AR32" s="1">
        <f t="shared" si="31"/>
        <v>121.37760632343885</v>
      </c>
    </row>
    <row r="33" spans="1:44" ht="12.75">
      <c r="A33" s="9">
        <v>1991</v>
      </c>
      <c r="B33">
        <v>1161</v>
      </c>
      <c r="C33">
        <v>556</v>
      </c>
      <c r="D33">
        <v>40</v>
      </c>
      <c r="E33">
        <v>14</v>
      </c>
      <c r="F33">
        <v>641</v>
      </c>
      <c r="G33" s="32" t="s">
        <v>39</v>
      </c>
      <c r="H33" s="2">
        <f t="shared" si="25"/>
        <v>2412</v>
      </c>
      <c r="J33" s="9">
        <v>1991</v>
      </c>
      <c r="K33" s="2">
        <f t="shared" si="26"/>
        <v>1161</v>
      </c>
      <c r="L33" s="2">
        <f t="shared" si="26"/>
        <v>556</v>
      </c>
      <c r="M33" s="2">
        <f t="shared" si="16"/>
        <v>695</v>
      </c>
      <c r="N33" s="2">
        <f t="shared" si="27"/>
        <v>2412</v>
      </c>
      <c r="P33" s="9">
        <f t="shared" si="17"/>
        <v>1991</v>
      </c>
      <c r="Q33" s="2">
        <f t="shared" si="28"/>
        <v>48.134328358208954</v>
      </c>
      <c r="R33" s="2">
        <f t="shared" si="18"/>
        <v>23.0514096185738</v>
      </c>
      <c r="S33" s="1">
        <f t="shared" si="18"/>
        <v>1.658374792703151</v>
      </c>
      <c r="T33" s="1">
        <f t="shared" si="18"/>
        <v>0.5804311774461027</v>
      </c>
      <c r="U33" s="1">
        <f t="shared" si="18"/>
        <v>26.57545605306799</v>
      </c>
      <c r="V33" s="32" t="s">
        <v>39</v>
      </c>
      <c r="W33" s="2">
        <f t="shared" si="18"/>
        <v>100</v>
      </c>
      <c r="Z33" s="9">
        <v>1991</v>
      </c>
      <c r="AA33" s="2">
        <f t="shared" si="29"/>
        <v>2711730</v>
      </c>
      <c r="AB33" s="2">
        <f t="shared" si="29"/>
        <v>132939</v>
      </c>
      <c r="AC33" s="1">
        <f t="shared" si="29"/>
        <v>22522</v>
      </c>
      <c r="AD33" s="1">
        <f t="shared" si="29"/>
        <v>59820</v>
      </c>
      <c r="AE33" s="1">
        <f t="shared" si="29"/>
        <v>440556</v>
      </c>
      <c r="AF33" s="1"/>
      <c r="AG33" s="2">
        <f t="shared" si="19"/>
        <v>3367567</v>
      </c>
      <c r="AJ33" s="9">
        <v>1991</v>
      </c>
      <c r="AK33" s="1">
        <f t="shared" si="30"/>
        <v>42.81399696872476</v>
      </c>
      <c r="AL33" s="1">
        <f t="shared" si="20"/>
        <v>418.2369357374435</v>
      </c>
      <c r="AM33" s="1">
        <f t="shared" si="21"/>
        <v>177.60412041559366</v>
      </c>
      <c r="AN33" s="1">
        <f t="shared" si="22"/>
        <v>23.40354396522902</v>
      </c>
      <c r="AO33" s="1">
        <f t="shared" si="23"/>
        <v>145.49796166662128</v>
      </c>
      <c r="AP33" s="1"/>
      <c r="AQ33" s="1">
        <f t="shared" si="24"/>
        <v>71.62441014536608</v>
      </c>
      <c r="AR33" s="1">
        <f t="shared" si="31"/>
        <v>132.913111161259</v>
      </c>
    </row>
    <row r="34" spans="1:44" ht="12.75">
      <c r="A34" s="9">
        <v>1992</v>
      </c>
      <c r="B34">
        <v>1364</v>
      </c>
      <c r="C34">
        <v>639</v>
      </c>
      <c r="D34">
        <v>60</v>
      </c>
      <c r="E34">
        <v>10</v>
      </c>
      <c r="F34">
        <v>729</v>
      </c>
      <c r="G34" s="32" t="s">
        <v>39</v>
      </c>
      <c r="H34" s="2">
        <f t="shared" si="25"/>
        <v>2802</v>
      </c>
      <c r="J34" s="9">
        <v>1992</v>
      </c>
      <c r="K34" s="2">
        <f t="shared" si="26"/>
        <v>1364</v>
      </c>
      <c r="L34" s="2">
        <f t="shared" si="26"/>
        <v>639</v>
      </c>
      <c r="M34" s="2">
        <f t="shared" si="16"/>
        <v>799</v>
      </c>
      <c r="N34" s="2">
        <f t="shared" si="27"/>
        <v>2802</v>
      </c>
      <c r="P34" s="9">
        <f t="shared" si="17"/>
        <v>1992</v>
      </c>
      <c r="Q34" s="2">
        <f t="shared" si="28"/>
        <v>48.67951463240542</v>
      </c>
      <c r="R34" s="2">
        <f t="shared" si="18"/>
        <v>22.805139186295502</v>
      </c>
      <c r="S34" s="1">
        <f t="shared" si="18"/>
        <v>2.141327623126338</v>
      </c>
      <c r="T34" s="1">
        <f t="shared" si="18"/>
        <v>0.35688793718772305</v>
      </c>
      <c r="U34" s="1">
        <f t="shared" si="18"/>
        <v>26.017130620985014</v>
      </c>
      <c r="V34" s="32" t="s">
        <v>39</v>
      </c>
      <c r="W34" s="2">
        <f t="shared" si="18"/>
        <v>100</v>
      </c>
      <c r="Z34" s="9">
        <v>1992</v>
      </c>
      <c r="AA34" s="2">
        <f t="shared" si="29"/>
        <v>2779309</v>
      </c>
      <c r="AB34" s="2">
        <f t="shared" si="29"/>
        <v>136991</v>
      </c>
      <c r="AC34" s="1">
        <f t="shared" si="29"/>
        <v>23154</v>
      </c>
      <c r="AD34" s="1">
        <f t="shared" si="29"/>
        <v>63861</v>
      </c>
      <c r="AE34" s="1">
        <f t="shared" si="29"/>
        <v>456680</v>
      </c>
      <c r="AF34" s="1"/>
      <c r="AG34" s="2">
        <f t="shared" si="19"/>
        <v>3459995</v>
      </c>
      <c r="AJ34" s="9">
        <v>1992</v>
      </c>
      <c r="AK34" s="1">
        <f t="shared" si="30"/>
        <v>49.07694682383283</v>
      </c>
      <c r="AL34" s="1">
        <f t="shared" si="20"/>
        <v>466.4540006277785</v>
      </c>
      <c r="AM34" s="1">
        <f t="shared" si="21"/>
        <v>259.1344908007256</v>
      </c>
      <c r="AN34" s="1">
        <f t="shared" si="22"/>
        <v>15.659009411064657</v>
      </c>
      <c r="AO34" s="1">
        <f t="shared" si="23"/>
        <v>159.6303757554524</v>
      </c>
      <c r="AP34" s="1"/>
      <c r="AQ34" s="1">
        <f t="shared" si="24"/>
        <v>80.9827759866705</v>
      </c>
      <c r="AR34" s="1">
        <f t="shared" si="31"/>
        <v>146.95739339151547</v>
      </c>
    </row>
    <row r="35" spans="1:44" ht="12.75">
      <c r="A35" s="9">
        <v>1993</v>
      </c>
      <c r="B35">
        <v>1354</v>
      </c>
      <c r="C35">
        <v>700</v>
      </c>
      <c r="D35">
        <v>79</v>
      </c>
      <c r="E35">
        <v>13</v>
      </c>
      <c r="F35">
        <v>733</v>
      </c>
      <c r="G35" s="32" t="s">
        <v>39</v>
      </c>
      <c r="H35" s="2">
        <f t="shared" si="25"/>
        <v>2879</v>
      </c>
      <c r="J35" s="9">
        <v>1993</v>
      </c>
      <c r="K35" s="2">
        <f t="shared" si="26"/>
        <v>1354</v>
      </c>
      <c r="L35" s="2">
        <f t="shared" si="26"/>
        <v>700</v>
      </c>
      <c r="M35" s="2">
        <f t="shared" si="16"/>
        <v>825</v>
      </c>
      <c r="N35" s="2">
        <f t="shared" si="27"/>
        <v>2879</v>
      </c>
      <c r="P35" s="9">
        <f t="shared" si="17"/>
        <v>1993</v>
      </c>
      <c r="Q35" s="2">
        <f t="shared" si="28"/>
        <v>47.030218825981244</v>
      </c>
      <c r="R35" s="2">
        <f t="shared" si="18"/>
        <v>24.313997915943037</v>
      </c>
      <c r="S35" s="1">
        <f t="shared" si="18"/>
        <v>2.7440083362278567</v>
      </c>
      <c r="T35" s="1">
        <f t="shared" si="18"/>
        <v>0.45154567558179926</v>
      </c>
      <c r="U35" s="1">
        <f t="shared" si="18"/>
        <v>25.460229246266064</v>
      </c>
      <c r="V35" s="32" t="s">
        <v>39</v>
      </c>
      <c r="W35" s="2">
        <f t="shared" si="18"/>
        <v>100</v>
      </c>
      <c r="Z35" s="9">
        <v>1993</v>
      </c>
      <c r="AA35" s="2">
        <f t="shared" si="29"/>
        <v>2851608</v>
      </c>
      <c r="AB35" s="2">
        <f t="shared" si="29"/>
        <v>141047</v>
      </c>
      <c r="AC35" s="1">
        <f t="shared" si="29"/>
        <v>23784</v>
      </c>
      <c r="AD35" s="1">
        <f t="shared" si="29"/>
        <v>67949</v>
      </c>
      <c r="AE35" s="1">
        <f t="shared" si="29"/>
        <v>476496</v>
      </c>
      <c r="AF35" s="1"/>
      <c r="AG35" s="2">
        <f t="shared" si="19"/>
        <v>3560884</v>
      </c>
      <c r="AJ35" s="9">
        <v>1993</v>
      </c>
      <c r="AK35" s="1">
        <f t="shared" si="30"/>
        <v>47.48198209571582</v>
      </c>
      <c r="AL35" s="1">
        <f t="shared" si="20"/>
        <v>496.2884712188136</v>
      </c>
      <c r="AM35" s="1">
        <f t="shared" si="21"/>
        <v>332.1560713084426</v>
      </c>
      <c r="AN35" s="1">
        <f t="shared" si="22"/>
        <v>19.13199605586543</v>
      </c>
      <c r="AO35" s="1">
        <f t="shared" si="23"/>
        <v>153.83130183674155</v>
      </c>
      <c r="AP35" s="1"/>
      <c r="AQ35" s="1">
        <f t="shared" si="24"/>
        <v>80.85071010456954</v>
      </c>
      <c r="AR35" s="1">
        <f t="shared" si="31"/>
        <v>145.18794359316402</v>
      </c>
    </row>
    <row r="36" spans="1:44" ht="12.75">
      <c r="A36" s="9">
        <v>1994</v>
      </c>
      <c r="B36">
        <v>1297</v>
      </c>
      <c r="C36">
        <v>745</v>
      </c>
      <c r="D36">
        <v>74</v>
      </c>
      <c r="E36">
        <v>19</v>
      </c>
      <c r="F36">
        <v>872</v>
      </c>
      <c r="G36" s="32" t="s">
        <v>39</v>
      </c>
      <c r="H36" s="2">
        <f t="shared" si="25"/>
        <v>3007</v>
      </c>
      <c r="J36" s="9">
        <v>1994</v>
      </c>
      <c r="K36" s="2">
        <f t="shared" si="26"/>
        <v>1297</v>
      </c>
      <c r="L36" s="2">
        <f t="shared" si="26"/>
        <v>745</v>
      </c>
      <c r="M36" s="2">
        <f t="shared" si="16"/>
        <v>965</v>
      </c>
      <c r="N36" s="2">
        <f t="shared" si="27"/>
        <v>3007</v>
      </c>
      <c r="P36" s="9">
        <f t="shared" si="17"/>
        <v>1994</v>
      </c>
      <c r="Q36" s="2">
        <f t="shared" si="28"/>
        <v>43.13269038909212</v>
      </c>
      <c r="R36" s="2">
        <f t="shared" si="18"/>
        <v>24.775523777851678</v>
      </c>
      <c r="S36" s="1">
        <f t="shared" si="18"/>
        <v>2.460924509477885</v>
      </c>
      <c r="T36" s="1">
        <f t="shared" si="18"/>
        <v>0.6318589956767542</v>
      </c>
      <c r="U36" s="1">
        <f t="shared" si="18"/>
        <v>28.999002327901565</v>
      </c>
      <c r="V36" s="32" t="s">
        <v>39</v>
      </c>
      <c r="W36" s="2">
        <f t="shared" si="18"/>
        <v>100</v>
      </c>
      <c r="Z36" s="9">
        <v>1994</v>
      </c>
      <c r="AA36" s="2">
        <f t="shared" si="29"/>
        <v>2919546</v>
      </c>
      <c r="AB36" s="2">
        <f t="shared" si="29"/>
        <v>144157</v>
      </c>
      <c r="AC36" s="1">
        <f t="shared" si="29"/>
        <v>24206</v>
      </c>
      <c r="AD36" s="1">
        <f t="shared" si="29"/>
        <v>71700</v>
      </c>
      <c r="AE36" s="1">
        <f t="shared" si="29"/>
        <v>494301</v>
      </c>
      <c r="AF36" s="1"/>
      <c r="AG36" s="2">
        <f t="shared" si="19"/>
        <v>3653910</v>
      </c>
      <c r="AJ36" s="9">
        <v>1994</v>
      </c>
      <c r="AK36" s="1">
        <f t="shared" si="30"/>
        <v>44.42471534957832</v>
      </c>
      <c r="AL36" s="1">
        <f t="shared" si="20"/>
        <v>516.7976581088674</v>
      </c>
      <c r="AM36" s="1">
        <f t="shared" si="21"/>
        <v>305.70932826571925</v>
      </c>
      <c r="AN36" s="1">
        <f t="shared" si="22"/>
        <v>26.499302649930264</v>
      </c>
      <c r="AO36" s="1">
        <f t="shared" si="23"/>
        <v>176.41072949478152</v>
      </c>
      <c r="AP36" s="1"/>
      <c r="AQ36" s="1">
        <f t="shared" si="24"/>
        <v>82.29540410135992</v>
      </c>
      <c r="AR36" s="1">
        <f t="shared" si="31"/>
        <v>163.50195778769145</v>
      </c>
    </row>
    <row r="37" spans="1:44" ht="12.75">
      <c r="A37" s="9">
        <v>1995</v>
      </c>
      <c r="B37">
        <v>1452</v>
      </c>
      <c r="C37">
        <v>850</v>
      </c>
      <c r="D37">
        <v>82</v>
      </c>
      <c r="E37">
        <v>20</v>
      </c>
      <c r="F37">
        <v>1076</v>
      </c>
      <c r="G37" s="32" t="s">
        <v>39</v>
      </c>
      <c r="H37" s="2">
        <f t="shared" si="25"/>
        <v>3480</v>
      </c>
      <c r="J37" s="9">
        <v>1995</v>
      </c>
      <c r="K37" s="2">
        <f t="shared" si="26"/>
        <v>1452</v>
      </c>
      <c r="L37" s="2">
        <f t="shared" si="26"/>
        <v>850</v>
      </c>
      <c r="M37" s="2">
        <f t="shared" si="16"/>
        <v>1178</v>
      </c>
      <c r="N37" s="2">
        <f t="shared" si="27"/>
        <v>3480</v>
      </c>
      <c r="P37" s="9">
        <f t="shared" si="17"/>
        <v>1995</v>
      </c>
      <c r="Q37" s="2">
        <f t="shared" si="28"/>
        <v>41.724137931034484</v>
      </c>
      <c r="R37" s="2">
        <f t="shared" si="18"/>
        <v>24.42528735632184</v>
      </c>
      <c r="S37" s="1">
        <f t="shared" si="18"/>
        <v>2.3563218390804597</v>
      </c>
      <c r="T37" s="1">
        <f t="shared" si="18"/>
        <v>0.5747126436781609</v>
      </c>
      <c r="U37" s="1">
        <f t="shared" si="18"/>
        <v>30.919540229885058</v>
      </c>
      <c r="V37" s="32" t="s">
        <v>39</v>
      </c>
      <c r="W37" s="2">
        <f t="shared" si="18"/>
        <v>100</v>
      </c>
      <c r="Z37" s="9">
        <v>1995</v>
      </c>
      <c r="AA37" s="2">
        <f t="shared" si="29"/>
        <v>2977692</v>
      </c>
      <c r="AB37" s="2">
        <f t="shared" si="29"/>
        <v>146048</v>
      </c>
      <c r="AC37" s="1">
        <f t="shared" si="29"/>
        <v>24684</v>
      </c>
      <c r="AD37" s="1">
        <f t="shared" si="29"/>
        <v>75859</v>
      </c>
      <c r="AE37" s="1">
        <f t="shared" si="29"/>
        <v>513778</v>
      </c>
      <c r="AF37" s="1"/>
      <c r="AG37" s="2">
        <f t="shared" si="19"/>
        <v>3738061</v>
      </c>
      <c r="AJ37" s="9">
        <v>1995</v>
      </c>
      <c r="AK37" s="1">
        <f t="shared" si="30"/>
        <v>48.76259868381283</v>
      </c>
      <c r="AL37" s="1">
        <f t="shared" si="20"/>
        <v>582.0004382120947</v>
      </c>
      <c r="AM37" s="1">
        <f t="shared" si="21"/>
        <v>332.19899530059956</v>
      </c>
      <c r="AN37" s="1">
        <f t="shared" si="22"/>
        <v>26.364702935709673</v>
      </c>
      <c r="AO37" s="1">
        <f t="shared" si="23"/>
        <v>209.42897516047788</v>
      </c>
      <c r="AP37" s="1"/>
      <c r="AQ37" s="1">
        <f t="shared" si="24"/>
        <v>93.0963940930873</v>
      </c>
      <c r="AR37" s="1">
        <f t="shared" si="31"/>
        <v>191.75642701454126</v>
      </c>
    </row>
    <row r="38" spans="1:44" ht="12.75">
      <c r="A38" s="9">
        <v>1996</v>
      </c>
      <c r="B38">
        <v>1681</v>
      </c>
      <c r="C38">
        <v>859</v>
      </c>
      <c r="D38">
        <v>75</v>
      </c>
      <c r="E38">
        <v>19</v>
      </c>
      <c r="F38">
        <v>1218</v>
      </c>
      <c r="G38" s="32" t="s">
        <v>39</v>
      </c>
      <c r="H38" s="2">
        <f t="shared" si="25"/>
        <v>3852</v>
      </c>
      <c r="J38" s="9">
        <v>1996</v>
      </c>
      <c r="K38" s="2">
        <f t="shared" si="26"/>
        <v>1681</v>
      </c>
      <c r="L38" s="2">
        <f t="shared" si="26"/>
        <v>859</v>
      </c>
      <c r="M38" s="2">
        <f t="shared" si="16"/>
        <v>1312</v>
      </c>
      <c r="N38" s="2">
        <f t="shared" si="27"/>
        <v>3852</v>
      </c>
      <c r="P38" s="9">
        <f t="shared" si="17"/>
        <v>1996</v>
      </c>
      <c r="Q38" s="2">
        <f t="shared" si="28"/>
        <v>43.639667705088264</v>
      </c>
      <c r="R38" s="2">
        <f t="shared" si="18"/>
        <v>22.300103842159917</v>
      </c>
      <c r="S38" s="1">
        <f t="shared" si="18"/>
        <v>1.9470404984423675</v>
      </c>
      <c r="T38" s="1">
        <f t="shared" si="18"/>
        <v>0.4932502596053998</v>
      </c>
      <c r="U38" s="1">
        <f t="shared" si="18"/>
        <v>31.61993769470405</v>
      </c>
      <c r="V38" s="32" t="s">
        <v>39</v>
      </c>
      <c r="W38" s="2">
        <f t="shared" si="18"/>
        <v>100</v>
      </c>
      <c r="Z38" s="9">
        <v>1996</v>
      </c>
      <c r="AA38" s="2">
        <f t="shared" si="29"/>
        <v>3026511</v>
      </c>
      <c r="AB38" s="2">
        <f t="shared" si="29"/>
        <v>148233</v>
      </c>
      <c r="AC38" s="1">
        <f t="shared" si="29"/>
        <v>25117</v>
      </c>
      <c r="AD38" s="1">
        <f t="shared" si="29"/>
        <v>79215</v>
      </c>
      <c r="AE38" s="1">
        <f t="shared" si="29"/>
        <v>533640</v>
      </c>
      <c r="AF38" s="1"/>
      <c r="AG38" s="2">
        <f t="shared" si="19"/>
        <v>3812716</v>
      </c>
      <c r="AJ38" s="9">
        <v>1996</v>
      </c>
      <c r="AK38" s="1">
        <f t="shared" si="30"/>
        <v>55.54250422351017</v>
      </c>
      <c r="AL38" s="1">
        <f t="shared" si="20"/>
        <v>579.4930953296499</v>
      </c>
      <c r="AM38" s="1">
        <f t="shared" si="21"/>
        <v>298.60254011227454</v>
      </c>
      <c r="AN38" s="1">
        <f t="shared" si="22"/>
        <v>23.985356308779902</v>
      </c>
      <c r="AO38" s="1">
        <f t="shared" si="23"/>
        <v>228.24375983809307</v>
      </c>
      <c r="AP38" s="1"/>
      <c r="AQ38" s="1">
        <f t="shared" si="24"/>
        <v>101.03034162523514</v>
      </c>
      <c r="AR38" s="1">
        <f t="shared" si="31"/>
        <v>205.65165869348496</v>
      </c>
    </row>
    <row r="39" spans="1:44" ht="12.75">
      <c r="A39" s="9">
        <v>1997</v>
      </c>
      <c r="B39">
        <v>1713</v>
      </c>
      <c r="C39">
        <v>874</v>
      </c>
      <c r="D39">
        <v>74</v>
      </c>
      <c r="E39">
        <v>22</v>
      </c>
      <c r="F39">
        <v>1189</v>
      </c>
      <c r="G39" s="32" t="s">
        <v>39</v>
      </c>
      <c r="H39" s="2">
        <f t="shared" si="25"/>
        <v>3872</v>
      </c>
      <c r="J39" s="9">
        <v>1997</v>
      </c>
      <c r="K39" s="2">
        <f t="shared" si="26"/>
        <v>1713</v>
      </c>
      <c r="L39" s="2">
        <f t="shared" si="26"/>
        <v>874</v>
      </c>
      <c r="M39" s="2">
        <f t="shared" si="16"/>
        <v>1285</v>
      </c>
      <c r="N39" s="2">
        <f t="shared" si="27"/>
        <v>3872</v>
      </c>
      <c r="P39" s="9">
        <f t="shared" si="17"/>
        <v>1997</v>
      </c>
      <c r="Q39" s="2">
        <f t="shared" si="28"/>
        <v>44.24070247933884</v>
      </c>
      <c r="R39" s="2">
        <f t="shared" si="18"/>
        <v>22.57231404958678</v>
      </c>
      <c r="S39" s="1">
        <f t="shared" si="18"/>
        <v>1.9111570247933882</v>
      </c>
      <c r="T39" s="1">
        <f t="shared" si="18"/>
        <v>0.5681818181818182</v>
      </c>
      <c r="U39" s="1">
        <f t="shared" si="18"/>
        <v>30.707644628099175</v>
      </c>
      <c r="V39" s="32" t="s">
        <v>39</v>
      </c>
      <c r="W39" s="2">
        <f t="shared" si="18"/>
        <v>100</v>
      </c>
      <c r="Z39" s="9">
        <v>1997</v>
      </c>
      <c r="AA39" s="2">
        <f t="shared" si="29"/>
        <v>3075558</v>
      </c>
      <c r="AB39" s="2">
        <f t="shared" si="29"/>
        <v>150906</v>
      </c>
      <c r="AC39" s="1">
        <f t="shared" si="29"/>
        <v>25390</v>
      </c>
      <c r="AD39" s="1">
        <f t="shared" si="29"/>
        <v>83046</v>
      </c>
      <c r="AE39" s="1">
        <f t="shared" si="29"/>
        <v>556393</v>
      </c>
      <c r="AF39" s="1"/>
      <c r="AG39" s="2">
        <f t="shared" si="19"/>
        <v>3891293</v>
      </c>
      <c r="AJ39" s="9">
        <v>1997</v>
      </c>
      <c r="AK39" s="1">
        <f t="shared" si="30"/>
        <v>55.69721006724633</v>
      </c>
      <c r="AL39" s="1">
        <f t="shared" si="20"/>
        <v>579.168488993148</v>
      </c>
      <c r="AM39" s="1">
        <f t="shared" si="21"/>
        <v>291.45332808192205</v>
      </c>
      <c r="AN39" s="1">
        <f t="shared" si="22"/>
        <v>26.49134214772536</v>
      </c>
      <c r="AO39" s="1">
        <f t="shared" si="23"/>
        <v>213.69787182800647</v>
      </c>
      <c r="AP39" s="1"/>
      <c r="AQ39" s="1">
        <f t="shared" si="24"/>
        <v>99.50420078878666</v>
      </c>
      <c r="AR39" s="1">
        <f t="shared" si="31"/>
        <v>193.2827839940797</v>
      </c>
    </row>
    <row r="40" spans="1:44" ht="12.75">
      <c r="A40" s="9">
        <v>1998</v>
      </c>
      <c r="B40">
        <v>1971</v>
      </c>
      <c r="C40">
        <v>801</v>
      </c>
      <c r="D40">
        <v>68</v>
      </c>
      <c r="E40">
        <v>24</v>
      </c>
      <c r="F40">
        <v>1236</v>
      </c>
      <c r="G40" s="32" t="s">
        <v>39</v>
      </c>
      <c r="H40" s="2">
        <f t="shared" si="25"/>
        <v>4100</v>
      </c>
      <c r="J40" s="9">
        <v>1998</v>
      </c>
      <c r="K40" s="2">
        <f t="shared" si="26"/>
        <v>1971</v>
      </c>
      <c r="L40" s="2">
        <f t="shared" si="26"/>
        <v>801</v>
      </c>
      <c r="M40" s="2">
        <f t="shared" si="16"/>
        <v>1328</v>
      </c>
      <c r="N40" s="2">
        <f t="shared" si="27"/>
        <v>4100</v>
      </c>
      <c r="P40" s="9">
        <f t="shared" si="17"/>
        <v>1998</v>
      </c>
      <c r="Q40" s="2">
        <f t="shared" si="28"/>
        <v>48.073170731707314</v>
      </c>
      <c r="R40" s="2">
        <f t="shared" si="18"/>
        <v>19.53658536585366</v>
      </c>
      <c r="S40" s="1">
        <f t="shared" si="18"/>
        <v>1.6585365853658538</v>
      </c>
      <c r="T40" s="1">
        <f t="shared" si="18"/>
        <v>0.5853658536585366</v>
      </c>
      <c r="U40" s="1">
        <f t="shared" si="18"/>
        <v>30.146341463414632</v>
      </c>
      <c r="V40" s="32" t="s">
        <v>39</v>
      </c>
      <c r="W40" s="2">
        <f t="shared" si="18"/>
        <v>100</v>
      </c>
      <c r="Z40" s="9">
        <v>1998</v>
      </c>
      <c r="AA40" s="2">
        <f t="shared" si="29"/>
        <v>3122879</v>
      </c>
      <c r="AB40" s="2">
        <f t="shared" si="29"/>
        <v>154615</v>
      </c>
      <c r="AC40" s="1">
        <f t="shared" si="29"/>
        <v>25858</v>
      </c>
      <c r="AD40" s="1">
        <f t="shared" si="29"/>
        <v>87324</v>
      </c>
      <c r="AE40" s="1">
        <f t="shared" si="29"/>
        <v>578291</v>
      </c>
      <c r="AF40" s="1"/>
      <c r="AG40" s="2">
        <f t="shared" si="19"/>
        <v>3968967</v>
      </c>
      <c r="AJ40" s="9">
        <v>1998</v>
      </c>
      <c r="AK40" s="1">
        <f t="shared" si="30"/>
        <v>63.114837302373864</v>
      </c>
      <c r="AL40" s="1">
        <f t="shared" si="20"/>
        <v>518.0609902014681</v>
      </c>
      <c r="AM40" s="1">
        <f t="shared" si="21"/>
        <v>262.9747080207286</v>
      </c>
      <c r="AN40" s="1">
        <f t="shared" si="22"/>
        <v>27.48385323622372</v>
      </c>
      <c r="AO40" s="1">
        <f t="shared" si="23"/>
        <v>213.73322427635915</v>
      </c>
      <c r="AP40" s="1"/>
      <c r="AQ40" s="1">
        <f t="shared" si="24"/>
        <v>103.30143838434535</v>
      </c>
      <c r="AR40" s="1">
        <f t="shared" si="31"/>
        <v>192.05377505701597</v>
      </c>
    </row>
    <row r="41" spans="1:44" ht="12.75">
      <c r="A41" s="9">
        <v>1999</v>
      </c>
      <c r="B41">
        <v>1780</v>
      </c>
      <c r="C41">
        <v>711</v>
      </c>
      <c r="D41">
        <v>81</v>
      </c>
      <c r="E41">
        <v>32</v>
      </c>
      <c r="F41">
        <v>1140</v>
      </c>
      <c r="G41" s="32" t="s">
        <v>39</v>
      </c>
      <c r="H41" s="2">
        <f t="shared" si="25"/>
        <v>3744</v>
      </c>
      <c r="J41" s="9">
        <v>1999</v>
      </c>
      <c r="K41" s="2">
        <f t="shared" si="26"/>
        <v>1780</v>
      </c>
      <c r="L41" s="2">
        <f t="shared" si="26"/>
        <v>711</v>
      </c>
      <c r="M41" s="2">
        <f t="shared" si="16"/>
        <v>1253</v>
      </c>
      <c r="N41" s="2">
        <f t="shared" si="27"/>
        <v>3744</v>
      </c>
      <c r="P41" s="9">
        <f t="shared" si="17"/>
        <v>1999</v>
      </c>
      <c r="Q41" s="2">
        <f t="shared" si="28"/>
        <v>47.54273504273504</v>
      </c>
      <c r="R41" s="2">
        <f aca="true" t="shared" si="32" ref="R41:W42">(C41/$H41)*100</f>
        <v>18.990384615384613</v>
      </c>
      <c r="S41" s="1">
        <f t="shared" si="32"/>
        <v>2.1634615384615383</v>
      </c>
      <c r="T41" s="1">
        <f t="shared" si="32"/>
        <v>0.8547008547008548</v>
      </c>
      <c r="U41" s="1">
        <f t="shared" si="32"/>
        <v>30.448717948717945</v>
      </c>
      <c r="V41" s="32" t="s">
        <v>39</v>
      </c>
      <c r="W41" s="2">
        <f t="shared" si="32"/>
        <v>100</v>
      </c>
      <c r="Z41" s="9">
        <v>1999</v>
      </c>
      <c r="AA41" s="2">
        <f t="shared" si="29"/>
        <v>3177332</v>
      </c>
      <c r="AB41" s="2">
        <f t="shared" si="29"/>
        <v>157578</v>
      </c>
      <c r="AC41" s="1">
        <f t="shared" si="29"/>
        <v>26340</v>
      </c>
      <c r="AD41" s="1">
        <f t="shared" si="29"/>
        <v>91301</v>
      </c>
      <c r="AE41" s="1">
        <f t="shared" si="29"/>
        <v>603582</v>
      </c>
      <c r="AF41" s="1"/>
      <c r="AG41" s="2">
        <f t="shared" si="19"/>
        <v>4056133</v>
      </c>
      <c r="AJ41" s="9">
        <v>1999</v>
      </c>
      <c r="AK41" s="1">
        <f t="shared" si="30"/>
        <v>56.021844742696075</v>
      </c>
      <c r="AL41" s="1">
        <f>(C41/AB41)*100000</f>
        <v>451.2051174656361</v>
      </c>
      <c r="AM41" s="1">
        <f>(D41/AC41)*100000</f>
        <v>307.51708428246013</v>
      </c>
      <c r="AN41" s="1">
        <f>(E41/AD41)*100000</f>
        <v>35.04890417410543</v>
      </c>
      <c r="AO41" s="1">
        <f>(F41/AE41)*100000</f>
        <v>188.87243158344683</v>
      </c>
      <c r="AP41" s="1"/>
      <c r="AQ41" s="1">
        <f t="shared" si="24"/>
        <v>92.30466555214042</v>
      </c>
      <c r="AR41" s="1">
        <f t="shared" si="31"/>
        <v>173.7326735281598</v>
      </c>
    </row>
    <row r="42" spans="1:23" s="4" customFormat="1" ht="12.75">
      <c r="A42" s="13" t="s">
        <v>13</v>
      </c>
      <c r="B42" s="21">
        <f aca="true" t="shared" si="33" ref="B42:G42">SUM(B25:B41)</f>
        <v>22348</v>
      </c>
      <c r="C42" s="21">
        <f t="shared" si="33"/>
        <v>9999</v>
      </c>
      <c r="D42" s="21">
        <f t="shared" si="33"/>
        <v>804</v>
      </c>
      <c r="E42" s="21">
        <f t="shared" si="33"/>
        <v>218</v>
      </c>
      <c r="F42" s="21">
        <f t="shared" si="33"/>
        <v>12620</v>
      </c>
      <c r="G42" s="21">
        <f t="shared" si="33"/>
        <v>0</v>
      </c>
      <c r="H42" s="21">
        <f t="shared" si="25"/>
        <v>45989</v>
      </c>
      <c r="J42" s="13" t="s">
        <v>13</v>
      </c>
      <c r="K42" s="21">
        <f>B42</f>
        <v>22348</v>
      </c>
      <c r="L42" s="21">
        <f>C42</f>
        <v>9999</v>
      </c>
      <c r="M42" s="21">
        <f t="shared" si="16"/>
        <v>13642</v>
      </c>
      <c r="N42" s="21">
        <f>H42</f>
        <v>45989</v>
      </c>
      <c r="P42" s="13" t="str">
        <f t="shared" si="17"/>
        <v>Total</v>
      </c>
      <c r="Q42" s="21">
        <f t="shared" si="28"/>
        <v>48.59422905477397</v>
      </c>
      <c r="R42" s="21">
        <f t="shared" si="32"/>
        <v>21.74215573289265</v>
      </c>
      <c r="S42" s="23">
        <f t="shared" si="32"/>
        <v>1.7482441453391027</v>
      </c>
      <c r="T42" s="23">
        <f t="shared" si="32"/>
        <v>0.47402639761682136</v>
      </c>
      <c r="U42" s="23">
        <f t="shared" si="32"/>
        <v>27.44134466937746</v>
      </c>
      <c r="V42" s="23">
        <f t="shared" si="32"/>
        <v>0</v>
      </c>
      <c r="W42" s="21">
        <f t="shared" si="32"/>
        <v>100</v>
      </c>
    </row>
    <row r="43" spans="2:23" ht="12.75">
      <c r="B43" s="2"/>
      <c r="C43" s="2"/>
      <c r="K43" s="2"/>
      <c r="L43" s="2"/>
      <c r="M43" s="2"/>
      <c r="Q43" s="3"/>
      <c r="R43" s="3"/>
      <c r="S43" s="3"/>
      <c r="T43" s="3"/>
      <c r="U43" s="3"/>
      <c r="V43" s="3"/>
      <c r="W43" s="3"/>
    </row>
    <row r="45" spans="1:44" ht="12.75">
      <c r="A45" s="30" t="str">
        <f>CONCATENATE("Admissions Balance, All Races: ",$A$1)</f>
        <v>Admissions Balance, All Races: COLORADO</v>
      </c>
      <c r="B45" s="30"/>
      <c r="C45" s="30"/>
      <c r="D45" s="30"/>
      <c r="E45" s="30"/>
      <c r="F45" s="30"/>
      <c r="G45" s="30"/>
      <c r="H45" s="30"/>
      <c r="J45" s="30" t="str">
        <f>CONCATENATE("Admissions Balance, BW + Balance: ",$A$1)</f>
        <v>Admissions Balance, BW + Balance: COLORADO</v>
      </c>
      <c r="K45" s="30"/>
      <c r="L45" s="30"/>
      <c r="M45" s="30"/>
      <c r="N45" s="30"/>
      <c r="P45" s="30" t="str">
        <f>CONCATENATE("Percent of Total, Admissions Balance by Race: ",$A$1)</f>
        <v>Percent of Total, Admissions Balance by Race: COLORADO</v>
      </c>
      <c r="Q45" s="30"/>
      <c r="R45" s="30"/>
      <c r="S45" s="30"/>
      <c r="T45" s="30"/>
      <c r="U45" s="30"/>
      <c r="V45" s="30"/>
      <c r="W45" s="30"/>
      <c r="Z45" s="30" t="str">
        <f>CONCATENATE("Total Population, By Race: ",$A$1)</f>
        <v>Total Population, By Race: COLORADO</v>
      </c>
      <c r="AA45" s="30"/>
      <c r="AB45" s="30"/>
      <c r="AC45" s="30"/>
      <c r="AD45" s="30"/>
      <c r="AE45" s="30"/>
      <c r="AF45" s="30"/>
      <c r="AG45" s="30"/>
      <c r="AJ45" s="30" t="str">
        <f>CONCATENATE("Admissions Balance, per 100,000 By Race: ",$A$1)</f>
        <v>Admissions Balance, per 100,000 By Race: COLORADO</v>
      </c>
      <c r="AK45" s="30"/>
      <c r="AL45" s="30"/>
      <c r="AM45" s="30"/>
      <c r="AN45" s="30"/>
      <c r="AO45" s="30"/>
      <c r="AP45" s="30"/>
      <c r="AQ45" s="30"/>
      <c r="AR45" s="30"/>
    </row>
    <row r="46" spans="1:44" ht="12.75">
      <c r="A46" s="20" t="s">
        <v>25</v>
      </c>
      <c r="B46" s="19" t="s">
        <v>11</v>
      </c>
      <c r="C46" s="19" t="s">
        <v>12</v>
      </c>
      <c r="D46" s="19" t="s">
        <v>28</v>
      </c>
      <c r="E46" s="19" t="s">
        <v>29</v>
      </c>
      <c r="F46" s="19" t="s">
        <v>26</v>
      </c>
      <c r="G46" s="19" t="s">
        <v>27</v>
      </c>
      <c r="H46" s="19" t="s">
        <v>13</v>
      </c>
      <c r="J46" s="20" t="s">
        <v>25</v>
      </c>
      <c r="K46" s="19" t="s">
        <v>11</v>
      </c>
      <c r="L46" s="19" t="s">
        <v>12</v>
      </c>
      <c r="M46" s="19" t="s">
        <v>30</v>
      </c>
      <c r="N46" s="19" t="s">
        <v>13</v>
      </c>
      <c r="P46" s="20" t="str">
        <f aca="true" t="shared" si="34" ref="P46:W46">A46</f>
        <v>Year</v>
      </c>
      <c r="Q46" s="19" t="str">
        <f t="shared" si="34"/>
        <v>White, NH</v>
      </c>
      <c r="R46" s="19" t="str">
        <f t="shared" si="34"/>
        <v>Black, NH</v>
      </c>
      <c r="S46" s="19" t="str">
        <f t="shared" si="34"/>
        <v>Amerind, NH</v>
      </c>
      <c r="T46" s="19" t="str">
        <f t="shared" si="34"/>
        <v>Asian/PI, NH</v>
      </c>
      <c r="U46" s="19" t="str">
        <f t="shared" si="34"/>
        <v>Hisp, All</v>
      </c>
      <c r="V46" s="19" t="str">
        <f t="shared" si="34"/>
        <v>Race/Hisp NK</v>
      </c>
      <c r="W46" s="19" t="str">
        <f t="shared" si="34"/>
        <v>Total</v>
      </c>
      <c r="Z46" s="20" t="s">
        <v>25</v>
      </c>
      <c r="AA46" s="19" t="s">
        <v>11</v>
      </c>
      <c r="AB46" s="19" t="s">
        <v>12</v>
      </c>
      <c r="AC46" s="19" t="s">
        <v>28</v>
      </c>
      <c r="AD46" s="19" t="s">
        <v>29</v>
      </c>
      <c r="AE46" s="19" t="s">
        <v>26</v>
      </c>
      <c r="AF46" s="19" t="s">
        <v>27</v>
      </c>
      <c r="AG46" s="19" t="s">
        <v>13</v>
      </c>
      <c r="AJ46" s="20" t="s">
        <v>25</v>
      </c>
      <c r="AK46" s="19" t="s">
        <v>11</v>
      </c>
      <c r="AL46" s="19" t="s">
        <v>12</v>
      </c>
      <c r="AM46" s="19" t="s">
        <v>28</v>
      </c>
      <c r="AN46" s="19" t="s">
        <v>29</v>
      </c>
      <c r="AO46" s="19" t="s">
        <v>26</v>
      </c>
      <c r="AP46" s="19" t="s">
        <v>27</v>
      </c>
      <c r="AQ46" s="19" t="s">
        <v>13</v>
      </c>
      <c r="AR46" s="19" t="s">
        <v>30</v>
      </c>
    </row>
    <row r="47" spans="1:44" ht="12.75">
      <c r="A47" s="9">
        <v>1983</v>
      </c>
      <c r="B47" s="2">
        <f aca="true" t="shared" si="35" ref="B47:H56">B4-B25</f>
        <v>155</v>
      </c>
      <c r="C47" s="2">
        <f t="shared" si="35"/>
        <v>76</v>
      </c>
      <c r="D47">
        <f t="shared" si="35"/>
        <v>4</v>
      </c>
      <c r="E47">
        <f t="shared" si="35"/>
        <v>0</v>
      </c>
      <c r="F47">
        <f t="shared" si="35"/>
        <v>86</v>
      </c>
      <c r="G47" s="32" t="s">
        <v>39</v>
      </c>
      <c r="H47" s="2">
        <f t="shared" si="35"/>
        <v>321</v>
      </c>
      <c r="J47" s="9">
        <v>1983</v>
      </c>
      <c r="K47" s="2">
        <f aca="true" t="shared" si="36" ref="K47:N64">K4-K25</f>
        <v>155</v>
      </c>
      <c r="L47" s="2">
        <f t="shared" si="36"/>
        <v>76</v>
      </c>
      <c r="M47" s="2">
        <f t="shared" si="36"/>
        <v>90</v>
      </c>
      <c r="N47" s="2">
        <f t="shared" si="36"/>
        <v>321</v>
      </c>
      <c r="P47" s="9">
        <f>A47</f>
        <v>1983</v>
      </c>
      <c r="Q47" s="2">
        <f aca="true" t="shared" si="37" ref="Q47:Q64">(B47/$H47)*100</f>
        <v>48.28660436137071</v>
      </c>
      <c r="R47" s="2">
        <f aca="true" t="shared" si="38" ref="R47:R64">(C47/$H47)*100</f>
        <v>23.67601246105919</v>
      </c>
      <c r="S47" s="1">
        <f aca="true" t="shared" si="39" ref="S47:S64">(D47/$H47)*100</f>
        <v>1.2461059190031152</v>
      </c>
      <c r="T47" s="1">
        <f aca="true" t="shared" si="40" ref="T47:T64">(E47/$H47)*100</f>
        <v>0</v>
      </c>
      <c r="U47" s="1">
        <f aca="true" t="shared" si="41" ref="U47:U64">(F47/$H47)*100</f>
        <v>26.791277258566975</v>
      </c>
      <c r="V47" s="32" t="s">
        <v>39</v>
      </c>
      <c r="W47" s="2">
        <f aca="true" t="shared" si="42" ref="W47:W64">(H47/$H47)*100</f>
        <v>100</v>
      </c>
      <c r="Z47" s="9">
        <v>1983</v>
      </c>
      <c r="AA47" s="2">
        <f>AA25</f>
        <v>2581691</v>
      </c>
      <c r="AB47" s="2">
        <f aca="true" t="shared" si="43" ref="AB47:AG47">AB25</f>
        <v>114105</v>
      </c>
      <c r="AC47" s="1">
        <f t="shared" si="43"/>
        <v>17617</v>
      </c>
      <c r="AD47" s="1">
        <f t="shared" si="43"/>
        <v>41863</v>
      </c>
      <c r="AE47" s="1">
        <f t="shared" si="43"/>
        <v>378353</v>
      </c>
      <c r="AF47" s="1"/>
      <c r="AG47" s="2">
        <f t="shared" si="43"/>
        <v>3133629</v>
      </c>
      <c r="AJ47" s="9">
        <v>1983</v>
      </c>
      <c r="AK47" s="1">
        <f>(B47/AA47)*100000</f>
        <v>6.0038168781624135</v>
      </c>
      <c r="AL47" s="1">
        <f aca="true" t="shared" si="44" ref="AL47:AL62">(C47/AB47)*100000</f>
        <v>66.60531966171509</v>
      </c>
      <c r="AM47" s="1">
        <f aca="true" t="shared" si="45" ref="AM47:AM62">(D47/AC47)*100000</f>
        <v>22.705341431571778</v>
      </c>
      <c r="AN47" s="1">
        <f aca="true" t="shared" si="46" ref="AN47:AN62">(E47/AD47)*100000</f>
        <v>0</v>
      </c>
      <c r="AO47" s="1">
        <f aca="true" t="shared" si="47" ref="AO47:AO62">(F47/AE47)*100000</f>
        <v>22.730095968579608</v>
      </c>
      <c r="AP47" s="1"/>
      <c r="AQ47" s="1">
        <f aca="true" t="shared" si="48" ref="AQ47:AQ63">(H47/AG47)*100000</f>
        <v>10.243714236752341</v>
      </c>
      <c r="AR47" s="1">
        <f>(SUM(D47:F47)/SUM(AC47:AE47))*100000</f>
        <v>20.555782684265463</v>
      </c>
    </row>
    <row r="48" spans="1:44" ht="12.75">
      <c r="A48" s="9">
        <v>1984</v>
      </c>
      <c r="B48" s="2">
        <f t="shared" si="35"/>
        <v>264</v>
      </c>
      <c r="C48" s="2">
        <f t="shared" si="35"/>
        <v>146</v>
      </c>
      <c r="D48">
        <f t="shared" si="35"/>
        <v>10</v>
      </c>
      <c r="E48">
        <f t="shared" si="35"/>
        <v>1</v>
      </c>
      <c r="F48">
        <f t="shared" si="35"/>
        <v>229</v>
      </c>
      <c r="G48" s="32" t="s">
        <v>39</v>
      </c>
      <c r="H48" s="2">
        <f t="shared" si="35"/>
        <v>650</v>
      </c>
      <c r="J48" s="9">
        <v>1984</v>
      </c>
      <c r="K48" s="2">
        <f t="shared" si="36"/>
        <v>264</v>
      </c>
      <c r="L48" s="2">
        <f t="shared" si="36"/>
        <v>146</v>
      </c>
      <c r="M48" s="2">
        <f t="shared" si="36"/>
        <v>240</v>
      </c>
      <c r="N48" s="2">
        <f t="shared" si="36"/>
        <v>650</v>
      </c>
      <c r="P48" s="9">
        <f aca="true" t="shared" si="49" ref="P48:P64">A48</f>
        <v>1984</v>
      </c>
      <c r="Q48" s="2">
        <f t="shared" si="37"/>
        <v>40.61538461538461</v>
      </c>
      <c r="R48" s="2">
        <f t="shared" si="38"/>
        <v>22.46153846153846</v>
      </c>
      <c r="S48" s="1">
        <f t="shared" si="39"/>
        <v>1.5384615384615385</v>
      </c>
      <c r="T48" s="1">
        <f t="shared" si="40"/>
        <v>0.15384615384615385</v>
      </c>
      <c r="U48" s="1">
        <f t="shared" si="41"/>
        <v>35.23076923076923</v>
      </c>
      <c r="V48" s="32" t="s">
        <v>39</v>
      </c>
      <c r="W48" s="2">
        <f t="shared" si="42"/>
        <v>100</v>
      </c>
      <c r="Z48" s="9">
        <v>1984</v>
      </c>
      <c r="AA48" s="2">
        <f aca="true" t="shared" si="50" ref="AA48:AG63">AA26</f>
        <v>2604945</v>
      </c>
      <c r="AB48" s="2">
        <f t="shared" si="50"/>
        <v>116754</v>
      </c>
      <c r="AC48" s="1">
        <f t="shared" si="50"/>
        <v>18297</v>
      </c>
      <c r="AD48" s="1">
        <f t="shared" si="50"/>
        <v>44309</v>
      </c>
      <c r="AE48" s="1">
        <f t="shared" si="50"/>
        <v>385686</v>
      </c>
      <c r="AF48" s="1"/>
      <c r="AG48" s="2">
        <f t="shared" si="50"/>
        <v>3169991</v>
      </c>
      <c r="AJ48" s="9">
        <v>1984</v>
      </c>
      <c r="AK48" s="1">
        <f aca="true" t="shared" si="51" ref="AK48:AK63">(B48/AA48)*100000</f>
        <v>10.13457097942567</v>
      </c>
      <c r="AL48" s="1">
        <f t="shared" si="44"/>
        <v>125.04924884800522</v>
      </c>
      <c r="AM48" s="1">
        <f t="shared" si="45"/>
        <v>54.65376837732962</v>
      </c>
      <c r="AN48" s="1">
        <f t="shared" si="46"/>
        <v>2.2568778352027805</v>
      </c>
      <c r="AO48" s="1">
        <f t="shared" si="47"/>
        <v>59.374724516834945</v>
      </c>
      <c r="AP48" s="1"/>
      <c r="AQ48" s="1">
        <f t="shared" si="48"/>
        <v>20.50479007669107</v>
      </c>
      <c r="AR48" s="1">
        <f aca="true" t="shared" si="52" ref="AR48:AR63">(SUM(D48:F48)/SUM(AC48:AE48))*100000</f>
        <v>53.5365342232295</v>
      </c>
    </row>
    <row r="49" spans="1:44" ht="12.75">
      <c r="A49" s="9">
        <v>1985</v>
      </c>
      <c r="B49" s="2">
        <f t="shared" si="35"/>
        <v>206</v>
      </c>
      <c r="C49" s="2">
        <f t="shared" si="35"/>
        <v>108</v>
      </c>
      <c r="D49">
        <f t="shared" si="35"/>
        <v>8</v>
      </c>
      <c r="E49">
        <f t="shared" si="35"/>
        <v>0</v>
      </c>
      <c r="F49">
        <f t="shared" si="35"/>
        <v>109</v>
      </c>
      <c r="G49" s="32" t="s">
        <v>39</v>
      </c>
      <c r="H49" s="2">
        <f t="shared" si="35"/>
        <v>431</v>
      </c>
      <c r="J49" s="9">
        <v>1985</v>
      </c>
      <c r="K49" s="2">
        <f t="shared" si="36"/>
        <v>206</v>
      </c>
      <c r="L49" s="2">
        <f t="shared" si="36"/>
        <v>108</v>
      </c>
      <c r="M49" s="2">
        <f t="shared" si="36"/>
        <v>117</v>
      </c>
      <c r="N49" s="2">
        <f t="shared" si="36"/>
        <v>431</v>
      </c>
      <c r="O49" s="2"/>
      <c r="P49" s="9">
        <f t="shared" si="49"/>
        <v>1985</v>
      </c>
      <c r="Q49" s="2">
        <f t="shared" si="37"/>
        <v>47.79582366589327</v>
      </c>
      <c r="R49" s="2">
        <f t="shared" si="38"/>
        <v>25.05800464037123</v>
      </c>
      <c r="S49" s="1">
        <f t="shared" si="39"/>
        <v>1.8561484918793503</v>
      </c>
      <c r="T49" s="1">
        <f t="shared" si="40"/>
        <v>0</v>
      </c>
      <c r="U49" s="1">
        <f t="shared" si="41"/>
        <v>25.290023201856147</v>
      </c>
      <c r="V49" s="32" t="s">
        <v>39</v>
      </c>
      <c r="W49" s="2">
        <f t="shared" si="42"/>
        <v>100</v>
      </c>
      <c r="Z49" s="9">
        <v>1985</v>
      </c>
      <c r="AA49" s="2">
        <f t="shared" si="50"/>
        <v>2629537</v>
      </c>
      <c r="AB49" s="2">
        <f t="shared" si="50"/>
        <v>120330</v>
      </c>
      <c r="AC49" s="1">
        <f t="shared" si="50"/>
        <v>19016</v>
      </c>
      <c r="AD49" s="1">
        <f t="shared" si="50"/>
        <v>46856</v>
      </c>
      <c r="AE49" s="1">
        <f t="shared" si="50"/>
        <v>392984</v>
      </c>
      <c r="AF49" s="1"/>
      <c r="AG49" s="2">
        <f t="shared" si="50"/>
        <v>3208723</v>
      </c>
      <c r="AJ49" s="9">
        <v>1985</v>
      </c>
      <c r="AK49" s="1">
        <f t="shared" si="51"/>
        <v>7.834078775084739</v>
      </c>
      <c r="AL49" s="1">
        <f t="shared" si="44"/>
        <v>89.75317875841436</v>
      </c>
      <c r="AM49" s="1">
        <f t="shared" si="45"/>
        <v>42.069835927639886</v>
      </c>
      <c r="AN49" s="1">
        <f t="shared" si="46"/>
        <v>0</v>
      </c>
      <c r="AO49" s="1">
        <f t="shared" si="47"/>
        <v>27.736498178042872</v>
      </c>
      <c r="AP49" s="1"/>
      <c r="AQ49" s="1">
        <f t="shared" si="48"/>
        <v>13.432134839934767</v>
      </c>
      <c r="AR49" s="1">
        <f t="shared" si="52"/>
        <v>25.49819551231759</v>
      </c>
    </row>
    <row r="50" spans="1:44" ht="12.75">
      <c r="A50" s="9">
        <v>1986</v>
      </c>
      <c r="B50" s="2">
        <f t="shared" si="35"/>
        <v>268</v>
      </c>
      <c r="C50" s="2">
        <f t="shared" si="35"/>
        <v>127</v>
      </c>
      <c r="D50">
        <f t="shared" si="35"/>
        <v>3</v>
      </c>
      <c r="E50">
        <f t="shared" si="35"/>
        <v>0</v>
      </c>
      <c r="F50">
        <f t="shared" si="35"/>
        <v>163</v>
      </c>
      <c r="G50" s="32" t="s">
        <v>39</v>
      </c>
      <c r="H50" s="2">
        <f t="shared" si="35"/>
        <v>561</v>
      </c>
      <c r="J50" s="9">
        <v>1986</v>
      </c>
      <c r="K50" s="2">
        <f t="shared" si="36"/>
        <v>268</v>
      </c>
      <c r="L50" s="2">
        <f t="shared" si="36"/>
        <v>127</v>
      </c>
      <c r="M50" s="2">
        <f t="shared" si="36"/>
        <v>166</v>
      </c>
      <c r="N50" s="2">
        <f t="shared" si="36"/>
        <v>561</v>
      </c>
      <c r="O50" s="2"/>
      <c r="P50" s="9">
        <f t="shared" si="49"/>
        <v>1986</v>
      </c>
      <c r="Q50" s="2">
        <f t="shared" si="37"/>
        <v>47.771836007130126</v>
      </c>
      <c r="R50" s="2">
        <f t="shared" si="38"/>
        <v>22.63814616755793</v>
      </c>
      <c r="S50" s="1">
        <f t="shared" si="39"/>
        <v>0.53475935828877</v>
      </c>
      <c r="T50" s="1">
        <f t="shared" si="40"/>
        <v>0</v>
      </c>
      <c r="U50" s="1">
        <f t="shared" si="41"/>
        <v>29.055258467023172</v>
      </c>
      <c r="V50" s="32" t="s">
        <v>39</v>
      </c>
      <c r="W50" s="2">
        <f t="shared" si="42"/>
        <v>100</v>
      </c>
      <c r="Z50" s="9">
        <v>1986</v>
      </c>
      <c r="AA50" s="2">
        <f t="shared" si="50"/>
        <v>2646030</v>
      </c>
      <c r="AB50" s="2">
        <f t="shared" si="50"/>
        <v>122893</v>
      </c>
      <c r="AC50" s="1">
        <f t="shared" si="50"/>
        <v>19693</v>
      </c>
      <c r="AD50" s="1">
        <f t="shared" si="50"/>
        <v>49230</v>
      </c>
      <c r="AE50" s="1">
        <f t="shared" si="50"/>
        <v>399604</v>
      </c>
      <c r="AF50" s="1"/>
      <c r="AG50" s="2">
        <f t="shared" si="50"/>
        <v>3237450</v>
      </c>
      <c r="AJ50" s="9">
        <v>1986</v>
      </c>
      <c r="AK50" s="1">
        <f t="shared" si="51"/>
        <v>10.128381008529761</v>
      </c>
      <c r="AL50" s="1">
        <f t="shared" si="44"/>
        <v>103.34193159903332</v>
      </c>
      <c r="AM50" s="1">
        <f t="shared" si="45"/>
        <v>15.233839435332351</v>
      </c>
      <c r="AN50" s="1">
        <f t="shared" si="46"/>
        <v>0</v>
      </c>
      <c r="AO50" s="1">
        <f t="shared" si="47"/>
        <v>40.79038247865387</v>
      </c>
      <c r="AP50" s="1"/>
      <c r="AQ50" s="1">
        <f t="shared" si="48"/>
        <v>17.328452949080297</v>
      </c>
      <c r="AR50" s="1">
        <f t="shared" si="52"/>
        <v>35.430188655082844</v>
      </c>
    </row>
    <row r="51" spans="1:44" ht="12.75">
      <c r="A51" s="9">
        <v>1987</v>
      </c>
      <c r="B51" s="2">
        <f t="shared" si="35"/>
        <v>336</v>
      </c>
      <c r="C51" s="2">
        <f t="shared" si="35"/>
        <v>163</v>
      </c>
      <c r="D51">
        <f t="shared" si="35"/>
        <v>7</v>
      </c>
      <c r="E51">
        <f t="shared" si="35"/>
        <v>2</v>
      </c>
      <c r="F51">
        <f t="shared" si="35"/>
        <v>205</v>
      </c>
      <c r="G51" s="32" t="s">
        <v>39</v>
      </c>
      <c r="H51" s="2">
        <f t="shared" si="35"/>
        <v>713</v>
      </c>
      <c r="J51" s="9">
        <v>1987</v>
      </c>
      <c r="K51" s="2">
        <f t="shared" si="36"/>
        <v>336</v>
      </c>
      <c r="L51" s="2">
        <f t="shared" si="36"/>
        <v>163</v>
      </c>
      <c r="M51" s="2">
        <f t="shared" si="36"/>
        <v>214</v>
      </c>
      <c r="N51" s="2">
        <f t="shared" si="36"/>
        <v>713</v>
      </c>
      <c r="O51" s="2"/>
      <c r="P51" s="9">
        <f t="shared" si="49"/>
        <v>1987</v>
      </c>
      <c r="Q51" s="2">
        <f t="shared" si="37"/>
        <v>47.12482468443198</v>
      </c>
      <c r="R51" s="2">
        <f t="shared" si="38"/>
        <v>22.861150070126225</v>
      </c>
      <c r="S51" s="1">
        <f t="shared" si="39"/>
        <v>0.9817671809256662</v>
      </c>
      <c r="T51" s="1">
        <f t="shared" si="40"/>
        <v>0.2805049088359046</v>
      </c>
      <c r="U51" s="1">
        <f t="shared" si="41"/>
        <v>28.751753155680227</v>
      </c>
      <c r="V51" s="32" t="s">
        <v>39</v>
      </c>
      <c r="W51" s="2">
        <f t="shared" si="42"/>
        <v>100</v>
      </c>
      <c r="Z51" s="9">
        <v>1987</v>
      </c>
      <c r="AA51" s="2">
        <f t="shared" si="50"/>
        <v>2656720</v>
      </c>
      <c r="AB51" s="2">
        <f t="shared" si="50"/>
        <v>125103</v>
      </c>
      <c r="AC51" s="1">
        <f t="shared" si="50"/>
        <v>20361</v>
      </c>
      <c r="AD51" s="1">
        <f t="shared" si="50"/>
        <v>51281</v>
      </c>
      <c r="AE51" s="1">
        <f t="shared" si="50"/>
        <v>407015</v>
      </c>
      <c r="AF51" s="1"/>
      <c r="AG51" s="2">
        <f t="shared" si="50"/>
        <v>3260480</v>
      </c>
      <c r="AJ51" s="9">
        <v>1987</v>
      </c>
      <c r="AK51" s="1">
        <f t="shared" si="51"/>
        <v>12.647173958866572</v>
      </c>
      <c r="AL51" s="1">
        <f t="shared" si="44"/>
        <v>130.29263886557476</v>
      </c>
      <c r="AM51" s="1">
        <f t="shared" si="45"/>
        <v>34.37945091105545</v>
      </c>
      <c r="AN51" s="1">
        <f t="shared" si="46"/>
        <v>3.9000799516390083</v>
      </c>
      <c r="AO51" s="1">
        <f t="shared" si="47"/>
        <v>50.36669410218296</v>
      </c>
      <c r="AP51" s="1"/>
      <c r="AQ51" s="1">
        <f t="shared" si="48"/>
        <v>21.867945823927766</v>
      </c>
      <c r="AR51" s="1">
        <f t="shared" si="52"/>
        <v>44.70842377736041</v>
      </c>
    </row>
    <row r="52" spans="1:44" ht="12.75">
      <c r="A52" s="9">
        <v>1988</v>
      </c>
      <c r="B52" s="2">
        <f t="shared" si="35"/>
        <v>240</v>
      </c>
      <c r="C52" s="2">
        <f t="shared" si="35"/>
        <v>118</v>
      </c>
      <c r="D52">
        <f t="shared" si="35"/>
        <v>5</v>
      </c>
      <c r="E52">
        <f t="shared" si="35"/>
        <v>2</v>
      </c>
      <c r="F52">
        <f t="shared" si="35"/>
        <v>146</v>
      </c>
      <c r="G52" s="32" t="s">
        <v>39</v>
      </c>
      <c r="H52" s="2">
        <f t="shared" si="35"/>
        <v>511</v>
      </c>
      <c r="J52" s="9">
        <v>1988</v>
      </c>
      <c r="K52" s="2">
        <f t="shared" si="36"/>
        <v>240</v>
      </c>
      <c r="L52" s="2">
        <f t="shared" si="36"/>
        <v>118</v>
      </c>
      <c r="M52" s="2">
        <f t="shared" si="36"/>
        <v>153</v>
      </c>
      <c r="N52" s="2">
        <f t="shared" si="36"/>
        <v>511</v>
      </c>
      <c r="O52" s="2"/>
      <c r="P52" s="9">
        <f t="shared" si="49"/>
        <v>1988</v>
      </c>
      <c r="Q52" s="2">
        <f t="shared" si="37"/>
        <v>46.96673189823875</v>
      </c>
      <c r="R52" s="2">
        <f t="shared" si="38"/>
        <v>23.09197651663405</v>
      </c>
      <c r="S52" s="1">
        <f t="shared" si="39"/>
        <v>0.9784735812133072</v>
      </c>
      <c r="T52" s="1">
        <f t="shared" si="40"/>
        <v>0.3913894324853229</v>
      </c>
      <c r="U52" s="1">
        <f t="shared" si="41"/>
        <v>28.57142857142857</v>
      </c>
      <c r="V52" s="32" t="s">
        <v>39</v>
      </c>
      <c r="W52" s="2">
        <f t="shared" si="42"/>
        <v>100</v>
      </c>
      <c r="Z52" s="9">
        <v>1988</v>
      </c>
      <c r="AA52" s="2">
        <f t="shared" si="50"/>
        <v>2650229</v>
      </c>
      <c r="AB52" s="2">
        <f t="shared" si="50"/>
        <v>125790</v>
      </c>
      <c r="AC52" s="1">
        <f t="shared" si="50"/>
        <v>20908</v>
      </c>
      <c r="AD52" s="1">
        <f t="shared" si="50"/>
        <v>53015</v>
      </c>
      <c r="AE52" s="1">
        <f t="shared" si="50"/>
        <v>412338</v>
      </c>
      <c r="AF52" s="1"/>
      <c r="AG52" s="2">
        <f t="shared" si="50"/>
        <v>3262280</v>
      </c>
      <c r="AJ52" s="9">
        <v>1988</v>
      </c>
      <c r="AK52" s="1">
        <f t="shared" si="51"/>
        <v>9.05582121394038</v>
      </c>
      <c r="AL52" s="1">
        <f t="shared" si="44"/>
        <v>93.8071388822641</v>
      </c>
      <c r="AM52" s="1">
        <f t="shared" si="45"/>
        <v>23.914291180409414</v>
      </c>
      <c r="AN52" s="1">
        <f t="shared" si="46"/>
        <v>3.77251721210978</v>
      </c>
      <c r="AO52" s="1">
        <f t="shared" si="47"/>
        <v>35.40784502034739</v>
      </c>
      <c r="AP52" s="1"/>
      <c r="AQ52" s="1">
        <f t="shared" si="48"/>
        <v>15.663891511458242</v>
      </c>
      <c r="AR52" s="1">
        <f t="shared" si="52"/>
        <v>31.46458383460734</v>
      </c>
    </row>
    <row r="53" spans="1:44" ht="12.75">
      <c r="A53" s="9">
        <v>1989</v>
      </c>
      <c r="B53" s="2">
        <f t="shared" si="35"/>
        <v>260</v>
      </c>
      <c r="C53" s="2">
        <f t="shared" si="35"/>
        <v>118</v>
      </c>
      <c r="D53">
        <f t="shared" si="35"/>
        <v>5</v>
      </c>
      <c r="E53">
        <f t="shared" si="35"/>
        <v>0</v>
      </c>
      <c r="F53">
        <f t="shared" si="35"/>
        <v>168</v>
      </c>
      <c r="G53" s="32" t="s">
        <v>39</v>
      </c>
      <c r="H53" s="2">
        <f t="shared" si="35"/>
        <v>551</v>
      </c>
      <c r="J53" s="9">
        <v>1989</v>
      </c>
      <c r="K53" s="2">
        <f t="shared" si="36"/>
        <v>260</v>
      </c>
      <c r="L53" s="2">
        <f t="shared" si="36"/>
        <v>118</v>
      </c>
      <c r="M53" s="2">
        <f t="shared" si="36"/>
        <v>173</v>
      </c>
      <c r="N53" s="2">
        <f t="shared" si="36"/>
        <v>551</v>
      </c>
      <c r="O53" s="2"/>
      <c r="P53" s="9">
        <f t="shared" si="49"/>
        <v>1989</v>
      </c>
      <c r="Q53" s="2">
        <f t="shared" si="37"/>
        <v>47.186932849364794</v>
      </c>
      <c r="R53" s="2">
        <f t="shared" si="38"/>
        <v>21.415607985480946</v>
      </c>
      <c r="S53" s="1">
        <f t="shared" si="39"/>
        <v>0.9074410163339384</v>
      </c>
      <c r="T53" s="1">
        <f t="shared" si="40"/>
        <v>0</v>
      </c>
      <c r="U53" s="1">
        <f t="shared" si="41"/>
        <v>30.490018148820326</v>
      </c>
      <c r="V53" s="32" t="s">
        <v>39</v>
      </c>
      <c r="W53" s="2">
        <f t="shared" si="42"/>
        <v>100</v>
      </c>
      <c r="Z53" s="9">
        <v>1989</v>
      </c>
      <c r="AA53" s="2">
        <f t="shared" si="50"/>
        <v>2653612</v>
      </c>
      <c r="AB53" s="2">
        <f t="shared" si="50"/>
        <v>127183</v>
      </c>
      <c r="AC53" s="1">
        <f t="shared" si="50"/>
        <v>21546</v>
      </c>
      <c r="AD53" s="1">
        <f t="shared" si="50"/>
        <v>55119</v>
      </c>
      <c r="AE53" s="1">
        <f t="shared" si="50"/>
        <v>418362</v>
      </c>
      <c r="AF53" s="1"/>
      <c r="AG53" s="2">
        <f t="shared" si="50"/>
        <v>3275822</v>
      </c>
      <c r="AJ53" s="9">
        <v>1989</v>
      </c>
      <c r="AK53" s="1">
        <f t="shared" si="51"/>
        <v>9.797965942270386</v>
      </c>
      <c r="AL53" s="1">
        <f t="shared" si="44"/>
        <v>92.77969539954239</v>
      </c>
      <c r="AM53" s="1">
        <f t="shared" si="45"/>
        <v>23.20616355704075</v>
      </c>
      <c r="AN53" s="1">
        <f t="shared" si="46"/>
        <v>0</v>
      </c>
      <c r="AO53" s="1">
        <f t="shared" si="47"/>
        <v>40.156610782049995</v>
      </c>
      <c r="AP53" s="1"/>
      <c r="AQ53" s="1">
        <f t="shared" si="48"/>
        <v>16.820205737674392</v>
      </c>
      <c r="AR53" s="1">
        <f t="shared" si="52"/>
        <v>34.94758871738309</v>
      </c>
    </row>
    <row r="54" spans="1:44" ht="12.75">
      <c r="A54" s="9">
        <v>1990</v>
      </c>
      <c r="B54" s="2">
        <f t="shared" si="35"/>
        <v>294</v>
      </c>
      <c r="C54" s="2">
        <f t="shared" si="35"/>
        <v>182</v>
      </c>
      <c r="D54">
        <f t="shared" si="35"/>
        <v>8</v>
      </c>
      <c r="E54">
        <f t="shared" si="35"/>
        <v>0</v>
      </c>
      <c r="F54">
        <f t="shared" si="35"/>
        <v>188</v>
      </c>
      <c r="G54" s="32" t="s">
        <v>39</v>
      </c>
      <c r="H54" s="2">
        <f t="shared" si="35"/>
        <v>672</v>
      </c>
      <c r="J54" s="9">
        <v>1990</v>
      </c>
      <c r="K54" s="2">
        <f t="shared" si="36"/>
        <v>294</v>
      </c>
      <c r="L54" s="2">
        <f t="shared" si="36"/>
        <v>182</v>
      </c>
      <c r="M54" s="2">
        <f t="shared" si="36"/>
        <v>196</v>
      </c>
      <c r="N54" s="2">
        <f t="shared" si="36"/>
        <v>672</v>
      </c>
      <c r="O54" s="2"/>
      <c r="P54" s="9">
        <f t="shared" si="49"/>
        <v>1990</v>
      </c>
      <c r="Q54" s="2">
        <f t="shared" si="37"/>
        <v>43.75</v>
      </c>
      <c r="R54" s="2">
        <f t="shared" si="38"/>
        <v>27.083333333333332</v>
      </c>
      <c r="S54" s="1">
        <f t="shared" si="39"/>
        <v>1.1904761904761905</v>
      </c>
      <c r="T54" s="1">
        <f t="shared" si="40"/>
        <v>0</v>
      </c>
      <c r="U54" s="1">
        <f t="shared" si="41"/>
        <v>27.976190476190478</v>
      </c>
      <c r="V54" s="32" t="s">
        <v>39</v>
      </c>
      <c r="W54" s="2">
        <f t="shared" si="42"/>
        <v>100</v>
      </c>
      <c r="Z54" s="9">
        <v>1990</v>
      </c>
      <c r="AA54" s="2">
        <f t="shared" si="50"/>
        <v>2666442</v>
      </c>
      <c r="AB54" s="2">
        <f t="shared" si="50"/>
        <v>129089</v>
      </c>
      <c r="AC54" s="1">
        <f t="shared" si="50"/>
        <v>22203</v>
      </c>
      <c r="AD54" s="1">
        <f t="shared" si="50"/>
        <v>57687</v>
      </c>
      <c r="AE54" s="1">
        <f t="shared" si="50"/>
        <v>428441</v>
      </c>
      <c r="AF54" s="1"/>
      <c r="AG54" s="2">
        <f t="shared" si="50"/>
        <v>3303862</v>
      </c>
      <c r="AJ54" s="9">
        <v>1990</v>
      </c>
      <c r="AK54" s="1">
        <f t="shared" si="51"/>
        <v>11.025928934512732</v>
      </c>
      <c r="AL54" s="1">
        <f t="shared" si="44"/>
        <v>140.98800052676836</v>
      </c>
      <c r="AM54" s="1">
        <f t="shared" si="45"/>
        <v>36.0311669594199</v>
      </c>
      <c r="AN54" s="1">
        <f t="shared" si="46"/>
        <v>0</v>
      </c>
      <c r="AO54" s="1">
        <f t="shared" si="47"/>
        <v>43.880020819669454</v>
      </c>
      <c r="AP54" s="1"/>
      <c r="AQ54" s="1">
        <f t="shared" si="48"/>
        <v>20.33983259591351</v>
      </c>
      <c r="AR54" s="1">
        <f t="shared" si="52"/>
        <v>38.55755403467426</v>
      </c>
    </row>
    <row r="55" spans="1:44" ht="12.75">
      <c r="A55" s="9">
        <v>1991</v>
      </c>
      <c r="B55" s="2">
        <f t="shared" si="35"/>
        <v>229</v>
      </c>
      <c r="C55" s="2">
        <f t="shared" si="35"/>
        <v>154</v>
      </c>
      <c r="D55">
        <f t="shared" si="35"/>
        <v>13</v>
      </c>
      <c r="E55">
        <f t="shared" si="35"/>
        <v>2</v>
      </c>
      <c r="F55">
        <f t="shared" si="35"/>
        <v>144</v>
      </c>
      <c r="G55" s="32" t="s">
        <v>39</v>
      </c>
      <c r="H55" s="2">
        <f t="shared" si="35"/>
        <v>542</v>
      </c>
      <c r="J55" s="9">
        <v>1991</v>
      </c>
      <c r="K55" s="2">
        <f t="shared" si="36"/>
        <v>229</v>
      </c>
      <c r="L55" s="2">
        <f t="shared" si="36"/>
        <v>154</v>
      </c>
      <c r="M55" s="2">
        <f t="shared" si="36"/>
        <v>159</v>
      </c>
      <c r="N55" s="2">
        <f t="shared" si="36"/>
        <v>542</v>
      </c>
      <c r="O55" s="2"/>
      <c r="P55" s="9">
        <f t="shared" si="49"/>
        <v>1991</v>
      </c>
      <c r="Q55" s="2">
        <f t="shared" si="37"/>
        <v>42.25092250922509</v>
      </c>
      <c r="R55" s="2">
        <f t="shared" si="38"/>
        <v>28.413284132841326</v>
      </c>
      <c r="S55" s="1">
        <f t="shared" si="39"/>
        <v>2.3985239852398523</v>
      </c>
      <c r="T55" s="1">
        <f t="shared" si="40"/>
        <v>0.36900369003690037</v>
      </c>
      <c r="U55" s="1">
        <f t="shared" si="41"/>
        <v>26.56826568265683</v>
      </c>
      <c r="V55" s="32" t="s">
        <v>39</v>
      </c>
      <c r="W55" s="2">
        <f t="shared" si="42"/>
        <v>100</v>
      </c>
      <c r="Z55" s="9">
        <v>1991</v>
      </c>
      <c r="AA55" s="2">
        <f t="shared" si="50"/>
        <v>2711730</v>
      </c>
      <c r="AB55" s="2">
        <f t="shared" si="50"/>
        <v>132939</v>
      </c>
      <c r="AC55" s="1">
        <f t="shared" si="50"/>
        <v>22522</v>
      </c>
      <c r="AD55" s="1">
        <f t="shared" si="50"/>
        <v>59820</v>
      </c>
      <c r="AE55" s="1">
        <f t="shared" si="50"/>
        <v>440556</v>
      </c>
      <c r="AF55" s="1"/>
      <c r="AG55" s="2">
        <f t="shared" si="50"/>
        <v>3367567</v>
      </c>
      <c r="AJ55" s="9">
        <v>1991</v>
      </c>
      <c r="AK55" s="1">
        <f t="shared" si="51"/>
        <v>8.444793545080078</v>
      </c>
      <c r="AL55" s="1">
        <f t="shared" si="44"/>
        <v>115.84260450281708</v>
      </c>
      <c r="AM55" s="1">
        <f t="shared" si="45"/>
        <v>57.721339135067936</v>
      </c>
      <c r="AN55" s="1">
        <f t="shared" si="46"/>
        <v>3.3433634236041456</v>
      </c>
      <c r="AO55" s="1">
        <f t="shared" si="47"/>
        <v>32.6859695475717</v>
      </c>
      <c r="AP55" s="1"/>
      <c r="AQ55" s="1">
        <f t="shared" si="48"/>
        <v>16.094705762350088</v>
      </c>
      <c r="AR55" s="1">
        <f t="shared" si="52"/>
        <v>30.407459963511048</v>
      </c>
    </row>
    <row r="56" spans="1:44" ht="12.75">
      <c r="A56" s="9">
        <v>1992</v>
      </c>
      <c r="B56" s="2">
        <f t="shared" si="35"/>
        <v>349</v>
      </c>
      <c r="C56" s="2">
        <f t="shared" si="35"/>
        <v>217</v>
      </c>
      <c r="D56">
        <f t="shared" si="35"/>
        <v>24</v>
      </c>
      <c r="E56">
        <f t="shared" si="35"/>
        <v>1</v>
      </c>
      <c r="F56">
        <f t="shared" si="35"/>
        <v>208</v>
      </c>
      <c r="G56" s="32" t="s">
        <v>39</v>
      </c>
      <c r="H56" s="2">
        <f t="shared" si="35"/>
        <v>799</v>
      </c>
      <c r="J56" s="9">
        <v>1992</v>
      </c>
      <c r="K56" s="2">
        <f t="shared" si="36"/>
        <v>349</v>
      </c>
      <c r="L56" s="2">
        <f t="shared" si="36"/>
        <v>217</v>
      </c>
      <c r="M56" s="2">
        <f t="shared" si="36"/>
        <v>233</v>
      </c>
      <c r="N56" s="2">
        <f t="shared" si="36"/>
        <v>799</v>
      </c>
      <c r="O56" s="2"/>
      <c r="P56" s="9">
        <f t="shared" si="49"/>
        <v>1992</v>
      </c>
      <c r="Q56" s="2">
        <f t="shared" si="37"/>
        <v>43.67959949937422</v>
      </c>
      <c r="R56" s="2">
        <f t="shared" si="38"/>
        <v>27.15894868585732</v>
      </c>
      <c r="S56" s="1">
        <f t="shared" si="39"/>
        <v>3.0037546933667083</v>
      </c>
      <c r="T56" s="1">
        <f t="shared" si="40"/>
        <v>0.1251564455569462</v>
      </c>
      <c r="U56" s="1">
        <f t="shared" si="41"/>
        <v>26.032540675844807</v>
      </c>
      <c r="V56" s="32" t="s">
        <v>39</v>
      </c>
      <c r="W56" s="2">
        <f t="shared" si="42"/>
        <v>100</v>
      </c>
      <c r="Z56" s="9">
        <v>1992</v>
      </c>
      <c r="AA56" s="2">
        <f t="shared" si="50"/>
        <v>2779309</v>
      </c>
      <c r="AB56" s="2">
        <f t="shared" si="50"/>
        <v>136991</v>
      </c>
      <c r="AC56" s="1">
        <f t="shared" si="50"/>
        <v>23154</v>
      </c>
      <c r="AD56" s="1">
        <f t="shared" si="50"/>
        <v>63861</v>
      </c>
      <c r="AE56" s="1">
        <f t="shared" si="50"/>
        <v>456680</v>
      </c>
      <c r="AF56" s="1"/>
      <c r="AG56" s="2">
        <f t="shared" si="50"/>
        <v>3459995</v>
      </c>
      <c r="AJ56" s="9">
        <v>1992</v>
      </c>
      <c r="AK56" s="1">
        <f t="shared" si="51"/>
        <v>12.557078036303269</v>
      </c>
      <c r="AL56" s="1">
        <f t="shared" si="44"/>
        <v>158.4045667233614</v>
      </c>
      <c r="AM56" s="1">
        <f t="shared" si="45"/>
        <v>103.65379632029024</v>
      </c>
      <c r="AN56" s="1">
        <f t="shared" si="46"/>
        <v>1.5659009411064657</v>
      </c>
      <c r="AO56" s="1">
        <f t="shared" si="47"/>
        <v>45.54611544188491</v>
      </c>
      <c r="AP56" s="1"/>
      <c r="AQ56" s="1">
        <f t="shared" si="48"/>
        <v>23.09251891982503</v>
      </c>
      <c r="AR56" s="1">
        <f t="shared" si="52"/>
        <v>42.85490946210651</v>
      </c>
    </row>
    <row r="57" spans="1:44" ht="12.75">
      <c r="A57" s="9">
        <v>1993</v>
      </c>
      <c r="B57" s="2">
        <f aca="true" t="shared" si="53" ref="B57:H64">B14-B35</f>
        <v>391</v>
      </c>
      <c r="C57" s="2">
        <f t="shared" si="53"/>
        <v>255</v>
      </c>
      <c r="D57">
        <f t="shared" si="53"/>
        <v>20</v>
      </c>
      <c r="E57">
        <f t="shared" si="53"/>
        <v>0</v>
      </c>
      <c r="F57">
        <f t="shared" si="53"/>
        <v>252</v>
      </c>
      <c r="G57" s="32" t="s">
        <v>39</v>
      </c>
      <c r="H57" s="2">
        <f t="shared" si="53"/>
        <v>918</v>
      </c>
      <c r="J57" s="9">
        <v>1993</v>
      </c>
      <c r="K57" s="2">
        <f t="shared" si="36"/>
        <v>391</v>
      </c>
      <c r="L57" s="2">
        <f t="shared" si="36"/>
        <v>255</v>
      </c>
      <c r="M57" s="2">
        <f t="shared" si="36"/>
        <v>272</v>
      </c>
      <c r="N57" s="2">
        <f t="shared" si="36"/>
        <v>918</v>
      </c>
      <c r="O57" s="2"/>
      <c r="P57" s="9">
        <f t="shared" si="49"/>
        <v>1993</v>
      </c>
      <c r="Q57" s="2">
        <f t="shared" si="37"/>
        <v>42.592592592592595</v>
      </c>
      <c r="R57" s="2">
        <f t="shared" si="38"/>
        <v>27.77777777777778</v>
      </c>
      <c r="S57" s="1">
        <f t="shared" si="39"/>
        <v>2.178649237472767</v>
      </c>
      <c r="T57" s="1">
        <f t="shared" si="40"/>
        <v>0</v>
      </c>
      <c r="U57" s="1">
        <f t="shared" si="41"/>
        <v>27.450980392156865</v>
      </c>
      <c r="V57" s="32" t="s">
        <v>39</v>
      </c>
      <c r="W57" s="2">
        <f t="shared" si="42"/>
        <v>100</v>
      </c>
      <c r="Z57" s="9">
        <v>1993</v>
      </c>
      <c r="AA57" s="2">
        <f t="shared" si="50"/>
        <v>2851608</v>
      </c>
      <c r="AB57" s="2">
        <f t="shared" si="50"/>
        <v>141047</v>
      </c>
      <c r="AC57" s="1">
        <f t="shared" si="50"/>
        <v>23784</v>
      </c>
      <c r="AD57" s="1">
        <f t="shared" si="50"/>
        <v>67949</v>
      </c>
      <c r="AE57" s="1">
        <f t="shared" si="50"/>
        <v>476496</v>
      </c>
      <c r="AF57" s="1"/>
      <c r="AG57" s="2">
        <f t="shared" si="50"/>
        <v>3560884</v>
      </c>
      <c r="AJ57" s="9">
        <v>1993</v>
      </c>
      <c r="AK57" s="1">
        <f t="shared" si="51"/>
        <v>13.711562037979974</v>
      </c>
      <c r="AL57" s="1">
        <f t="shared" si="44"/>
        <v>180.79080022971067</v>
      </c>
      <c r="AM57" s="1">
        <f t="shared" si="45"/>
        <v>84.09014463504877</v>
      </c>
      <c r="AN57" s="1">
        <f t="shared" si="46"/>
        <v>0</v>
      </c>
      <c r="AO57" s="1">
        <f t="shared" si="47"/>
        <v>52.88606829857963</v>
      </c>
      <c r="AP57" s="1"/>
      <c r="AQ57" s="1">
        <f t="shared" si="48"/>
        <v>25.780115274746382</v>
      </c>
      <c r="AR57" s="1">
        <f t="shared" si="52"/>
        <v>47.868025039200745</v>
      </c>
    </row>
    <row r="58" spans="1:44" ht="12.75">
      <c r="A58" s="9">
        <v>1994</v>
      </c>
      <c r="B58" s="2">
        <f t="shared" si="53"/>
        <v>425</v>
      </c>
      <c r="C58" s="2">
        <f t="shared" si="53"/>
        <v>298</v>
      </c>
      <c r="D58">
        <f t="shared" si="53"/>
        <v>29</v>
      </c>
      <c r="E58">
        <f t="shared" si="53"/>
        <v>2</v>
      </c>
      <c r="F58">
        <f t="shared" si="53"/>
        <v>238</v>
      </c>
      <c r="G58" s="32" t="s">
        <v>39</v>
      </c>
      <c r="H58" s="2">
        <f t="shared" si="53"/>
        <v>992</v>
      </c>
      <c r="J58" s="9">
        <v>1994</v>
      </c>
      <c r="K58" s="2">
        <f t="shared" si="36"/>
        <v>425</v>
      </c>
      <c r="L58" s="2">
        <f t="shared" si="36"/>
        <v>298</v>
      </c>
      <c r="M58" s="2">
        <f t="shared" si="36"/>
        <v>269</v>
      </c>
      <c r="N58" s="2">
        <f t="shared" si="36"/>
        <v>992</v>
      </c>
      <c r="O58" s="2"/>
      <c r="P58" s="9">
        <f t="shared" si="49"/>
        <v>1994</v>
      </c>
      <c r="Q58" s="2">
        <f t="shared" si="37"/>
        <v>42.84274193548387</v>
      </c>
      <c r="R58" s="2">
        <f t="shared" si="38"/>
        <v>30.040322580645164</v>
      </c>
      <c r="S58" s="1">
        <f t="shared" si="39"/>
        <v>2.9233870967741935</v>
      </c>
      <c r="T58" s="1">
        <f t="shared" si="40"/>
        <v>0.20161290322580644</v>
      </c>
      <c r="U58" s="1">
        <f t="shared" si="41"/>
        <v>23.991935483870968</v>
      </c>
      <c r="V58" s="32" t="s">
        <v>39</v>
      </c>
      <c r="W58" s="2">
        <f t="shared" si="42"/>
        <v>100</v>
      </c>
      <c r="Z58" s="9">
        <v>1994</v>
      </c>
      <c r="AA58" s="2">
        <f t="shared" si="50"/>
        <v>2919546</v>
      </c>
      <c r="AB58" s="2">
        <f t="shared" si="50"/>
        <v>144157</v>
      </c>
      <c r="AC58" s="1">
        <f t="shared" si="50"/>
        <v>24206</v>
      </c>
      <c r="AD58" s="1">
        <f t="shared" si="50"/>
        <v>71700</v>
      </c>
      <c r="AE58" s="1">
        <f t="shared" si="50"/>
        <v>494301</v>
      </c>
      <c r="AF58" s="1"/>
      <c r="AG58" s="2">
        <f t="shared" si="50"/>
        <v>3653910</v>
      </c>
      <c r="AJ58" s="9">
        <v>1994</v>
      </c>
      <c r="AK58" s="1">
        <f t="shared" si="51"/>
        <v>14.55705784392505</v>
      </c>
      <c r="AL58" s="1">
        <f t="shared" si="44"/>
        <v>206.71906324354694</v>
      </c>
      <c r="AM58" s="1">
        <f t="shared" si="45"/>
        <v>119.80500702305213</v>
      </c>
      <c r="AN58" s="1">
        <f t="shared" si="46"/>
        <v>2.789400278940028</v>
      </c>
      <c r="AO58" s="1">
        <f t="shared" si="47"/>
        <v>48.148800022658264</v>
      </c>
      <c r="AP58" s="1"/>
      <c r="AQ58" s="1">
        <f t="shared" si="48"/>
        <v>27.14899929117028</v>
      </c>
      <c r="AR58" s="1">
        <f t="shared" si="52"/>
        <v>45.57722968382279</v>
      </c>
    </row>
    <row r="59" spans="1:44" ht="12.75">
      <c r="A59" s="9">
        <v>1995</v>
      </c>
      <c r="B59" s="2">
        <f t="shared" si="53"/>
        <v>437</v>
      </c>
      <c r="C59" s="2">
        <f t="shared" si="53"/>
        <v>280</v>
      </c>
      <c r="D59">
        <f t="shared" si="53"/>
        <v>25</v>
      </c>
      <c r="E59">
        <f t="shared" si="53"/>
        <v>2</v>
      </c>
      <c r="F59">
        <f t="shared" si="53"/>
        <v>242</v>
      </c>
      <c r="G59" s="32" t="s">
        <v>39</v>
      </c>
      <c r="H59" s="2">
        <f t="shared" si="53"/>
        <v>986</v>
      </c>
      <c r="J59" s="9">
        <v>1995</v>
      </c>
      <c r="K59" s="2">
        <f t="shared" si="36"/>
        <v>437</v>
      </c>
      <c r="L59" s="2">
        <f t="shared" si="36"/>
        <v>280</v>
      </c>
      <c r="M59" s="2">
        <f t="shared" si="36"/>
        <v>269</v>
      </c>
      <c r="N59" s="2">
        <f t="shared" si="36"/>
        <v>986</v>
      </c>
      <c r="O59" s="2"/>
      <c r="P59" s="9">
        <f t="shared" si="49"/>
        <v>1995</v>
      </c>
      <c r="Q59" s="2">
        <f t="shared" si="37"/>
        <v>44.32048681541582</v>
      </c>
      <c r="R59" s="2">
        <f t="shared" si="38"/>
        <v>28.397565922920894</v>
      </c>
      <c r="S59" s="1">
        <f t="shared" si="39"/>
        <v>2.535496957403651</v>
      </c>
      <c r="T59" s="1">
        <f t="shared" si="40"/>
        <v>0.2028397565922921</v>
      </c>
      <c r="U59" s="1">
        <f t="shared" si="41"/>
        <v>24.543610547667345</v>
      </c>
      <c r="V59" s="32" t="s">
        <v>39</v>
      </c>
      <c r="W59" s="2">
        <f t="shared" si="42"/>
        <v>100</v>
      </c>
      <c r="Z59" s="9">
        <v>1995</v>
      </c>
      <c r="AA59" s="2">
        <f t="shared" si="50"/>
        <v>2977692</v>
      </c>
      <c r="AB59" s="2">
        <f t="shared" si="50"/>
        <v>146048</v>
      </c>
      <c r="AC59" s="1">
        <f t="shared" si="50"/>
        <v>24684</v>
      </c>
      <c r="AD59" s="1">
        <f t="shared" si="50"/>
        <v>75859</v>
      </c>
      <c r="AE59" s="1">
        <f t="shared" si="50"/>
        <v>513778</v>
      </c>
      <c r="AF59" s="1"/>
      <c r="AG59" s="2">
        <f t="shared" si="50"/>
        <v>3738061</v>
      </c>
      <c r="AJ59" s="9">
        <v>1995</v>
      </c>
      <c r="AK59" s="1">
        <f t="shared" si="51"/>
        <v>14.675795884866533</v>
      </c>
      <c r="AL59" s="1">
        <f t="shared" si="44"/>
        <v>191.71779141104295</v>
      </c>
      <c r="AM59" s="1">
        <f t="shared" si="45"/>
        <v>101.28018149408524</v>
      </c>
      <c r="AN59" s="1">
        <f t="shared" si="46"/>
        <v>2.636470293570967</v>
      </c>
      <c r="AO59" s="1">
        <f t="shared" si="47"/>
        <v>47.10205575170599</v>
      </c>
      <c r="AP59" s="1"/>
      <c r="AQ59" s="1">
        <f t="shared" si="48"/>
        <v>26.37731165970807</v>
      </c>
      <c r="AR59" s="1">
        <f t="shared" si="52"/>
        <v>43.78818239975518</v>
      </c>
    </row>
    <row r="60" spans="1:44" ht="12.75">
      <c r="A60" s="9">
        <v>1996</v>
      </c>
      <c r="B60" s="2">
        <f t="shared" si="53"/>
        <v>455</v>
      </c>
      <c r="C60" s="2">
        <f t="shared" si="53"/>
        <v>327</v>
      </c>
      <c r="D60">
        <f t="shared" si="53"/>
        <v>36</v>
      </c>
      <c r="E60">
        <f t="shared" si="53"/>
        <v>2</v>
      </c>
      <c r="F60">
        <f t="shared" si="53"/>
        <v>353</v>
      </c>
      <c r="G60" s="32" t="s">
        <v>39</v>
      </c>
      <c r="H60" s="2">
        <f t="shared" si="53"/>
        <v>1173</v>
      </c>
      <c r="J60" s="9">
        <v>1996</v>
      </c>
      <c r="K60" s="2">
        <f t="shared" si="36"/>
        <v>455</v>
      </c>
      <c r="L60" s="2">
        <f t="shared" si="36"/>
        <v>327</v>
      </c>
      <c r="M60" s="2">
        <f t="shared" si="36"/>
        <v>391</v>
      </c>
      <c r="N60" s="2">
        <f t="shared" si="36"/>
        <v>1173</v>
      </c>
      <c r="O60" s="2"/>
      <c r="P60" s="9">
        <f t="shared" si="49"/>
        <v>1996</v>
      </c>
      <c r="Q60" s="2">
        <f t="shared" si="37"/>
        <v>38.789428815004264</v>
      </c>
      <c r="R60" s="2">
        <f t="shared" si="38"/>
        <v>27.877237851662407</v>
      </c>
      <c r="S60" s="1">
        <f t="shared" si="39"/>
        <v>3.0690537084398977</v>
      </c>
      <c r="T60" s="1">
        <f t="shared" si="40"/>
        <v>0.17050298380221654</v>
      </c>
      <c r="U60" s="1">
        <f t="shared" si="41"/>
        <v>30.093776641091218</v>
      </c>
      <c r="V60" s="32" t="s">
        <v>39</v>
      </c>
      <c r="W60" s="2">
        <f t="shared" si="42"/>
        <v>100</v>
      </c>
      <c r="Z60" s="9">
        <v>1996</v>
      </c>
      <c r="AA60" s="2">
        <f t="shared" si="50"/>
        <v>3026511</v>
      </c>
      <c r="AB60" s="2">
        <f t="shared" si="50"/>
        <v>148233</v>
      </c>
      <c r="AC60" s="1">
        <f t="shared" si="50"/>
        <v>25117</v>
      </c>
      <c r="AD60" s="1">
        <f t="shared" si="50"/>
        <v>79215</v>
      </c>
      <c r="AE60" s="1">
        <f t="shared" si="50"/>
        <v>533640</v>
      </c>
      <c r="AF60" s="1"/>
      <c r="AG60" s="2">
        <f t="shared" si="50"/>
        <v>3812716</v>
      </c>
      <c r="AJ60" s="9">
        <v>1996</v>
      </c>
      <c r="AK60" s="1">
        <f t="shared" si="51"/>
        <v>15.033812862401625</v>
      </c>
      <c r="AL60" s="1">
        <f t="shared" si="44"/>
        <v>220.59865212199713</v>
      </c>
      <c r="AM60" s="1">
        <f t="shared" si="45"/>
        <v>143.32921925389178</v>
      </c>
      <c r="AN60" s="1">
        <f t="shared" si="46"/>
        <v>2.5247743482926213</v>
      </c>
      <c r="AO60" s="1">
        <f t="shared" si="47"/>
        <v>66.14946405816654</v>
      </c>
      <c r="AP60" s="1"/>
      <c r="AQ60" s="1">
        <f t="shared" si="48"/>
        <v>30.765470074351196</v>
      </c>
      <c r="AR60" s="1">
        <f t="shared" si="52"/>
        <v>61.287956211244385</v>
      </c>
    </row>
    <row r="61" spans="1:44" ht="12.75">
      <c r="A61" s="9">
        <v>1997</v>
      </c>
      <c r="B61" s="2">
        <f t="shared" si="53"/>
        <v>555</v>
      </c>
      <c r="C61" s="2">
        <f t="shared" si="53"/>
        <v>382</v>
      </c>
      <c r="D61">
        <f t="shared" si="53"/>
        <v>34</v>
      </c>
      <c r="E61">
        <f t="shared" si="53"/>
        <v>3</v>
      </c>
      <c r="F61">
        <f t="shared" si="53"/>
        <v>377</v>
      </c>
      <c r="G61" s="32" t="s">
        <v>39</v>
      </c>
      <c r="H61" s="2">
        <f t="shared" si="53"/>
        <v>1351</v>
      </c>
      <c r="J61" s="9">
        <v>1997</v>
      </c>
      <c r="K61" s="2">
        <f t="shared" si="36"/>
        <v>555</v>
      </c>
      <c r="L61" s="2">
        <f t="shared" si="36"/>
        <v>382</v>
      </c>
      <c r="M61" s="2">
        <f t="shared" si="36"/>
        <v>414</v>
      </c>
      <c r="N61" s="2">
        <f t="shared" si="36"/>
        <v>1351</v>
      </c>
      <c r="O61" s="2"/>
      <c r="P61" s="9">
        <f t="shared" si="49"/>
        <v>1997</v>
      </c>
      <c r="Q61" s="2">
        <f t="shared" si="37"/>
        <v>41.08068097705404</v>
      </c>
      <c r="R61" s="2">
        <f t="shared" si="38"/>
        <v>28.275351591413767</v>
      </c>
      <c r="S61" s="1">
        <f t="shared" si="39"/>
        <v>2.516654330125833</v>
      </c>
      <c r="T61" s="1">
        <f t="shared" si="40"/>
        <v>0.22205773501110287</v>
      </c>
      <c r="U61" s="1">
        <f t="shared" si="41"/>
        <v>27.905255366395266</v>
      </c>
      <c r="V61" s="32" t="s">
        <v>39</v>
      </c>
      <c r="W61" s="2">
        <f t="shared" si="42"/>
        <v>100</v>
      </c>
      <c r="Z61" s="9">
        <v>1997</v>
      </c>
      <c r="AA61" s="2">
        <f t="shared" si="50"/>
        <v>3075558</v>
      </c>
      <c r="AB61" s="2">
        <f t="shared" si="50"/>
        <v>150906</v>
      </c>
      <c r="AC61" s="1">
        <f t="shared" si="50"/>
        <v>25390</v>
      </c>
      <c r="AD61" s="1">
        <f t="shared" si="50"/>
        <v>83046</v>
      </c>
      <c r="AE61" s="1">
        <f t="shared" si="50"/>
        <v>556393</v>
      </c>
      <c r="AF61" s="1"/>
      <c r="AG61" s="2">
        <f t="shared" si="50"/>
        <v>3891293</v>
      </c>
      <c r="AJ61" s="9">
        <v>1997</v>
      </c>
      <c r="AK61" s="1">
        <f t="shared" si="51"/>
        <v>18.045505888687515</v>
      </c>
      <c r="AL61" s="1">
        <f t="shared" si="44"/>
        <v>253.13771486885875</v>
      </c>
      <c r="AM61" s="1">
        <f t="shared" si="45"/>
        <v>133.9109885781804</v>
      </c>
      <c r="AN61" s="1">
        <f t="shared" si="46"/>
        <v>3.612455747417094</v>
      </c>
      <c r="AO61" s="1">
        <f t="shared" si="47"/>
        <v>67.757861799124</v>
      </c>
      <c r="AP61" s="1"/>
      <c r="AQ61" s="1">
        <f t="shared" si="48"/>
        <v>34.71853700042634</v>
      </c>
      <c r="AR61" s="1">
        <f t="shared" si="52"/>
        <v>62.271651808209334</v>
      </c>
    </row>
    <row r="62" spans="1:44" ht="12.75">
      <c r="A62" s="9">
        <v>1998</v>
      </c>
      <c r="B62" s="2">
        <f t="shared" si="53"/>
        <v>707</v>
      </c>
      <c r="C62" s="2">
        <f t="shared" si="53"/>
        <v>468</v>
      </c>
      <c r="D62">
        <f t="shared" si="53"/>
        <v>29</v>
      </c>
      <c r="E62">
        <f t="shared" si="53"/>
        <v>4</v>
      </c>
      <c r="F62">
        <f t="shared" si="53"/>
        <v>443</v>
      </c>
      <c r="G62" s="32" t="s">
        <v>39</v>
      </c>
      <c r="H62" s="2">
        <f t="shared" si="53"/>
        <v>1651</v>
      </c>
      <c r="J62" s="9">
        <v>1998</v>
      </c>
      <c r="K62" s="2">
        <f t="shared" si="36"/>
        <v>707</v>
      </c>
      <c r="L62" s="2">
        <f t="shared" si="36"/>
        <v>468</v>
      </c>
      <c r="M62" s="2">
        <f t="shared" si="36"/>
        <v>476</v>
      </c>
      <c r="N62" s="2">
        <f t="shared" si="36"/>
        <v>1651</v>
      </c>
      <c r="O62" s="2"/>
      <c r="P62" s="9">
        <f t="shared" si="49"/>
        <v>1998</v>
      </c>
      <c r="Q62" s="2">
        <f t="shared" si="37"/>
        <v>42.82253179890975</v>
      </c>
      <c r="R62" s="2">
        <f t="shared" si="38"/>
        <v>28.346456692913385</v>
      </c>
      <c r="S62" s="1">
        <f t="shared" si="39"/>
        <v>1.756511205330103</v>
      </c>
      <c r="T62" s="1">
        <f t="shared" si="40"/>
        <v>0.24227740763173833</v>
      </c>
      <c r="U62" s="1">
        <f t="shared" si="41"/>
        <v>26.83222289521502</v>
      </c>
      <c r="V62" s="32" t="s">
        <v>39</v>
      </c>
      <c r="W62" s="2">
        <f t="shared" si="42"/>
        <v>100</v>
      </c>
      <c r="Z62" s="9">
        <v>1998</v>
      </c>
      <c r="AA62" s="2">
        <f t="shared" si="50"/>
        <v>3122879</v>
      </c>
      <c r="AB62" s="2">
        <f t="shared" si="50"/>
        <v>154615</v>
      </c>
      <c r="AC62" s="1">
        <f t="shared" si="50"/>
        <v>25858</v>
      </c>
      <c r="AD62" s="1">
        <f t="shared" si="50"/>
        <v>87324</v>
      </c>
      <c r="AE62" s="1">
        <f t="shared" si="50"/>
        <v>578291</v>
      </c>
      <c r="AF62" s="1"/>
      <c r="AG62" s="2">
        <f t="shared" si="50"/>
        <v>3968967</v>
      </c>
      <c r="AJ62" s="9">
        <v>1998</v>
      </c>
      <c r="AK62" s="1">
        <f t="shared" si="51"/>
        <v>22.639365790349228</v>
      </c>
      <c r="AL62" s="1">
        <f t="shared" si="44"/>
        <v>302.68732011771175</v>
      </c>
      <c r="AM62" s="1">
        <f t="shared" si="45"/>
        <v>112.15097842060483</v>
      </c>
      <c r="AN62" s="1">
        <f t="shared" si="46"/>
        <v>4.580642206037287</v>
      </c>
      <c r="AO62" s="1">
        <f t="shared" si="47"/>
        <v>76.60503103108988</v>
      </c>
      <c r="AP62" s="1"/>
      <c r="AQ62" s="1">
        <f t="shared" si="48"/>
        <v>41.5977255542815</v>
      </c>
      <c r="AR62" s="1">
        <f t="shared" si="52"/>
        <v>68.83855190296656</v>
      </c>
    </row>
    <row r="63" spans="1:44" ht="12.75">
      <c r="A63" s="9">
        <v>1999</v>
      </c>
      <c r="B63" s="2">
        <f t="shared" si="53"/>
        <v>868</v>
      </c>
      <c r="C63" s="2">
        <f t="shared" si="53"/>
        <v>642</v>
      </c>
      <c r="D63">
        <f t="shared" si="53"/>
        <v>46</v>
      </c>
      <c r="E63">
        <f t="shared" si="53"/>
        <v>4</v>
      </c>
      <c r="F63">
        <f t="shared" si="53"/>
        <v>583</v>
      </c>
      <c r="G63" s="32" t="s">
        <v>39</v>
      </c>
      <c r="H63" s="2">
        <f t="shared" si="53"/>
        <v>2143</v>
      </c>
      <c r="J63" s="9">
        <v>1999</v>
      </c>
      <c r="K63" s="2">
        <f t="shared" si="36"/>
        <v>868</v>
      </c>
      <c r="L63" s="2">
        <f t="shared" si="36"/>
        <v>642</v>
      </c>
      <c r="M63" s="2">
        <f t="shared" si="36"/>
        <v>633</v>
      </c>
      <c r="N63" s="2">
        <f t="shared" si="36"/>
        <v>2143</v>
      </c>
      <c r="O63" s="2"/>
      <c r="P63" s="9">
        <f t="shared" si="49"/>
        <v>1999</v>
      </c>
      <c r="Q63" s="2">
        <f t="shared" si="37"/>
        <v>40.50396640223985</v>
      </c>
      <c r="R63" s="2">
        <f t="shared" si="38"/>
        <v>29.958002799813343</v>
      </c>
      <c r="S63" s="1">
        <f t="shared" si="39"/>
        <v>2.1465235650956602</v>
      </c>
      <c r="T63" s="1">
        <f t="shared" si="40"/>
        <v>0.18665422305179655</v>
      </c>
      <c r="U63" s="1">
        <f t="shared" si="41"/>
        <v>27.204853009799347</v>
      </c>
      <c r="V63" s="32" t="s">
        <v>39</v>
      </c>
      <c r="W63" s="2">
        <f t="shared" si="42"/>
        <v>100</v>
      </c>
      <c r="Z63" s="9">
        <v>1999</v>
      </c>
      <c r="AA63" s="2">
        <f t="shared" si="50"/>
        <v>3177332</v>
      </c>
      <c r="AB63" s="2">
        <f t="shared" si="50"/>
        <v>157578</v>
      </c>
      <c r="AC63" s="1">
        <f t="shared" si="50"/>
        <v>26340</v>
      </c>
      <c r="AD63" s="1">
        <f t="shared" si="50"/>
        <v>91301</v>
      </c>
      <c r="AE63" s="1">
        <f t="shared" si="50"/>
        <v>603582</v>
      </c>
      <c r="AF63" s="1"/>
      <c r="AG63" s="2">
        <f t="shared" si="50"/>
        <v>4056133</v>
      </c>
      <c r="AJ63" s="9">
        <v>1999</v>
      </c>
      <c r="AK63" s="1">
        <f t="shared" si="51"/>
        <v>27.318517548685502</v>
      </c>
      <c r="AL63" s="1">
        <f>(C63/AB63)*100000</f>
        <v>407.417279061798</v>
      </c>
      <c r="AM63" s="1">
        <f>(D63/AC63)*100000</f>
        <v>174.63933181473044</v>
      </c>
      <c r="AN63" s="1">
        <f>(E63/AD63)*100000</f>
        <v>4.381113021763179</v>
      </c>
      <c r="AO63" s="1">
        <f>(F63/AE63)*100000</f>
        <v>96.59002422206096</v>
      </c>
      <c r="AP63" s="1"/>
      <c r="AQ63" s="1">
        <f t="shared" si="48"/>
        <v>52.8335732580761</v>
      </c>
      <c r="AR63" s="1">
        <f t="shared" si="52"/>
        <v>87.7675836738429</v>
      </c>
    </row>
    <row r="64" spans="1:23" s="4" customFormat="1" ht="12.75">
      <c r="A64" s="13" t="s">
        <v>13</v>
      </c>
      <c r="B64" s="21">
        <f t="shared" si="53"/>
        <v>6439</v>
      </c>
      <c r="C64" s="21">
        <f t="shared" si="53"/>
        <v>4061</v>
      </c>
      <c r="D64" s="4">
        <f t="shared" si="53"/>
        <v>306</v>
      </c>
      <c r="E64" s="4">
        <f t="shared" si="53"/>
        <v>25</v>
      </c>
      <c r="F64" s="4">
        <f t="shared" si="53"/>
        <v>4134</v>
      </c>
      <c r="G64" s="4">
        <f t="shared" si="53"/>
        <v>0</v>
      </c>
      <c r="H64" s="21">
        <f t="shared" si="53"/>
        <v>14965</v>
      </c>
      <c r="J64" s="13" t="s">
        <v>13</v>
      </c>
      <c r="K64" s="21">
        <f t="shared" si="36"/>
        <v>6439</v>
      </c>
      <c r="L64" s="21">
        <f t="shared" si="36"/>
        <v>4061</v>
      </c>
      <c r="M64" s="21">
        <f t="shared" si="36"/>
        <v>4465</v>
      </c>
      <c r="N64" s="21">
        <f t="shared" si="36"/>
        <v>14965</v>
      </c>
      <c r="O64" s="21"/>
      <c r="P64" s="13" t="str">
        <f t="shared" si="49"/>
        <v>Total</v>
      </c>
      <c r="Q64" s="21">
        <f t="shared" si="37"/>
        <v>43.0270631473438</v>
      </c>
      <c r="R64" s="21">
        <f t="shared" si="38"/>
        <v>27.13665218843969</v>
      </c>
      <c r="S64" s="23">
        <f t="shared" si="39"/>
        <v>2.044771132642833</v>
      </c>
      <c r="T64" s="23">
        <f t="shared" si="40"/>
        <v>0.1670564650851988</v>
      </c>
      <c r="U64" s="23">
        <f t="shared" si="41"/>
        <v>27.62445706648847</v>
      </c>
      <c r="V64" s="23">
        <f>(G64/$H64)*100</f>
        <v>0</v>
      </c>
      <c r="W64" s="21">
        <f t="shared" si="42"/>
        <v>100</v>
      </c>
    </row>
    <row r="65" spans="2:23" ht="12.75">
      <c r="B65" s="2"/>
      <c r="C65" s="2"/>
      <c r="D65" s="2"/>
      <c r="E65" s="2"/>
      <c r="F65" s="2"/>
      <c r="G65" s="2"/>
      <c r="H65" s="2"/>
      <c r="K65" s="2"/>
      <c r="L65" s="2"/>
      <c r="M65" s="2"/>
      <c r="N65" s="2"/>
      <c r="O65" s="2"/>
      <c r="Q65" s="3"/>
      <c r="R65" s="3"/>
      <c r="S65" s="3"/>
      <c r="T65" s="3"/>
      <c r="U65" s="3"/>
      <c r="V65" s="3"/>
      <c r="W65" s="3"/>
    </row>
    <row r="66" spans="2:15" ht="12.75">
      <c r="B66" s="2"/>
      <c r="C66" s="2"/>
      <c r="D66" s="2"/>
      <c r="E66" s="2"/>
      <c r="F66" s="2"/>
      <c r="G66" s="2"/>
      <c r="H66" s="2"/>
      <c r="K66" s="2"/>
      <c r="L66" s="2"/>
      <c r="M66" s="2"/>
      <c r="N66" s="2"/>
      <c r="O66" s="2"/>
    </row>
    <row r="67" spans="1:44" s="27" customFormat="1" ht="24.75" customHeight="1">
      <c r="A67" s="31" t="str">
        <f>CONCATENATE("Parole &amp; Probation Admissions, All Races: ",$A$1)</f>
        <v>Parole &amp; Probation Admissions, All Races: COLORADO</v>
      </c>
      <c r="B67" s="31"/>
      <c r="C67" s="31"/>
      <c r="D67" s="31"/>
      <c r="E67" s="31"/>
      <c r="F67" s="31"/>
      <c r="G67" s="31"/>
      <c r="H67" s="31"/>
      <c r="J67" s="31" t="str">
        <f>CONCATENATE("Parole &amp; Probation Admissions, BW + Balance: ",$A$1)</f>
        <v>Parole &amp; Probation Admissions, BW + Balance: COLORADO</v>
      </c>
      <c r="K67" s="31"/>
      <c r="L67" s="31"/>
      <c r="M67" s="31"/>
      <c r="N67" s="31"/>
      <c r="O67" s="28"/>
      <c r="Z67" s="30" t="str">
        <f>CONCATENATE("Total Population, By Race: ",$A$1)</f>
        <v>Total Population, By Race: COLORADO</v>
      </c>
      <c r="AA67" s="30"/>
      <c r="AB67" s="30"/>
      <c r="AC67" s="30"/>
      <c r="AD67" s="30"/>
      <c r="AE67" s="30"/>
      <c r="AF67" s="30"/>
      <c r="AG67" s="30"/>
      <c r="AJ67" s="30" t="str">
        <f>CONCATENATE("Parole &amp; Probation Admissions, per 100,000 By Race: ",$A$1)</f>
        <v>Parole &amp; Probation Admissions, per 100,000 By Race: COLORADO</v>
      </c>
      <c r="AK67" s="30"/>
      <c r="AL67" s="30"/>
      <c r="AM67" s="30"/>
      <c r="AN67" s="30"/>
      <c r="AO67" s="30"/>
      <c r="AP67" s="30"/>
      <c r="AQ67" s="30"/>
      <c r="AR67" s="30"/>
    </row>
    <row r="68" spans="1:44" ht="12.75">
      <c r="A68" s="20" t="s">
        <v>25</v>
      </c>
      <c r="B68" s="19" t="s">
        <v>11</v>
      </c>
      <c r="C68" s="19" t="s">
        <v>12</v>
      </c>
      <c r="D68" s="19" t="s">
        <v>28</v>
      </c>
      <c r="E68" s="19" t="s">
        <v>29</v>
      </c>
      <c r="F68" s="19" t="s">
        <v>26</v>
      </c>
      <c r="G68" s="19" t="s">
        <v>27</v>
      </c>
      <c r="H68" s="19" t="s">
        <v>13</v>
      </c>
      <c r="J68" s="20" t="s">
        <v>25</v>
      </c>
      <c r="K68" s="19" t="s">
        <v>11</v>
      </c>
      <c r="L68" s="19" t="s">
        <v>12</v>
      </c>
      <c r="M68" s="19" t="s">
        <v>30</v>
      </c>
      <c r="N68" s="19" t="s">
        <v>13</v>
      </c>
      <c r="O68" s="2"/>
      <c r="Z68" s="20" t="s">
        <v>25</v>
      </c>
      <c r="AA68" s="19" t="s">
        <v>11</v>
      </c>
      <c r="AB68" s="19" t="s">
        <v>12</v>
      </c>
      <c r="AC68" s="19" t="s">
        <v>28</v>
      </c>
      <c r="AD68" s="19" t="s">
        <v>29</v>
      </c>
      <c r="AE68" s="19" t="s">
        <v>26</v>
      </c>
      <c r="AF68" s="19" t="s">
        <v>27</v>
      </c>
      <c r="AG68" s="19" t="s">
        <v>13</v>
      </c>
      <c r="AJ68" s="20" t="s">
        <v>25</v>
      </c>
      <c r="AK68" s="19" t="s">
        <v>11</v>
      </c>
      <c r="AL68" s="19" t="s">
        <v>12</v>
      </c>
      <c r="AM68" s="19" t="s">
        <v>28</v>
      </c>
      <c r="AN68" s="19" t="s">
        <v>29</v>
      </c>
      <c r="AO68" s="19" t="s">
        <v>26</v>
      </c>
      <c r="AP68" s="19" t="s">
        <v>27</v>
      </c>
      <c r="AQ68" s="19" t="s">
        <v>13</v>
      </c>
      <c r="AR68" s="19" t="s">
        <v>30</v>
      </c>
    </row>
    <row r="69" spans="1:44" ht="12.75">
      <c r="A69" s="9">
        <v>1983</v>
      </c>
      <c r="B69">
        <v>149</v>
      </c>
      <c r="C69">
        <v>72</v>
      </c>
      <c r="D69">
        <v>4</v>
      </c>
      <c r="E69">
        <v>0</v>
      </c>
      <c r="F69">
        <v>83</v>
      </c>
      <c r="G69" s="32" t="s">
        <v>39</v>
      </c>
      <c r="H69" s="2">
        <f>SUM(B69:G69)</f>
        <v>308</v>
      </c>
      <c r="J69" s="9">
        <v>1983</v>
      </c>
      <c r="K69" s="2">
        <f>B69</f>
        <v>149</v>
      </c>
      <c r="L69" s="2">
        <f>C69</f>
        <v>72</v>
      </c>
      <c r="M69" s="2">
        <f aca="true" t="shared" si="54" ref="M69:M86">N69-K69-L69</f>
        <v>87</v>
      </c>
      <c r="N69" s="2">
        <f>H69</f>
        <v>308</v>
      </c>
      <c r="O69" s="2"/>
      <c r="Z69" s="9">
        <v>1983</v>
      </c>
      <c r="AA69" s="2">
        <f>AA47</f>
        <v>2581691</v>
      </c>
      <c r="AB69" s="2">
        <f aca="true" t="shared" si="55" ref="AB69:AG69">AB47</f>
        <v>114105</v>
      </c>
      <c r="AC69" s="1">
        <f t="shared" si="55"/>
        <v>17617</v>
      </c>
      <c r="AD69" s="1">
        <f t="shared" si="55"/>
        <v>41863</v>
      </c>
      <c r="AE69" s="1">
        <f t="shared" si="55"/>
        <v>378353</v>
      </c>
      <c r="AF69" s="1"/>
      <c r="AG69" s="2">
        <f t="shared" si="55"/>
        <v>3133629</v>
      </c>
      <c r="AJ69" s="9">
        <v>1983</v>
      </c>
      <c r="AK69" s="1">
        <f>(B69/AA69)*100000</f>
        <v>5.7714110635238685</v>
      </c>
      <c r="AL69" s="1">
        <f aca="true" t="shared" si="56" ref="AL69:AL84">(C69/AB69)*100000</f>
        <v>63.099776521624825</v>
      </c>
      <c r="AM69" s="1">
        <f aca="true" t="shared" si="57" ref="AM69:AM84">(D69/AC69)*100000</f>
        <v>22.705341431571778</v>
      </c>
      <c r="AN69" s="1">
        <f aca="true" t="shared" si="58" ref="AN69:AN84">(E69/AD69)*100000</f>
        <v>0</v>
      </c>
      <c r="AO69" s="1">
        <f aca="true" t="shared" si="59" ref="AO69:AO84">(F69/AE69)*100000</f>
        <v>21.93718564409427</v>
      </c>
      <c r="AP69" s="1"/>
      <c r="AQ69" s="1">
        <f aca="true" t="shared" si="60" ref="AQ69:AQ85">(H69/AG69)*100000</f>
        <v>9.82885976610505</v>
      </c>
      <c r="AR69" s="1">
        <f>(SUM(D69:F69)/SUM(AC69:AE69))*100000</f>
        <v>19.87058992812328</v>
      </c>
    </row>
    <row r="70" spans="1:44" ht="12.75">
      <c r="A70" s="9">
        <v>1984</v>
      </c>
      <c r="B70">
        <v>0</v>
      </c>
      <c r="C70">
        <v>0</v>
      </c>
      <c r="D70">
        <v>0</v>
      </c>
      <c r="E70">
        <v>0</v>
      </c>
      <c r="F70">
        <v>0</v>
      </c>
      <c r="G70" s="32" t="s">
        <v>39</v>
      </c>
      <c r="H70" s="2" t="s">
        <v>37</v>
      </c>
      <c r="J70" s="9">
        <v>1984</v>
      </c>
      <c r="K70" s="2">
        <f aca="true" t="shared" si="61" ref="K70:K85">B70</f>
        <v>0</v>
      </c>
      <c r="L70" s="2">
        <f aca="true" t="shared" si="62" ref="L70:L85">C70</f>
        <v>0</v>
      </c>
      <c r="M70" s="2" t="s">
        <v>37</v>
      </c>
      <c r="N70" s="2" t="s">
        <v>37</v>
      </c>
      <c r="O70" s="2"/>
      <c r="Z70" s="9">
        <v>1984</v>
      </c>
      <c r="AA70" s="2">
        <f aca="true" t="shared" si="63" ref="AA70:AG85">AA48</f>
        <v>2604945</v>
      </c>
      <c r="AB70" s="2">
        <f t="shared" si="63"/>
        <v>116754</v>
      </c>
      <c r="AC70" s="1">
        <f t="shared" si="63"/>
        <v>18297</v>
      </c>
      <c r="AD70" s="1">
        <f t="shared" si="63"/>
        <v>44309</v>
      </c>
      <c r="AE70" s="1">
        <f t="shared" si="63"/>
        <v>385686</v>
      </c>
      <c r="AF70" s="1"/>
      <c r="AG70" s="2">
        <f t="shared" si="63"/>
        <v>3169991</v>
      </c>
      <c r="AJ70" s="9">
        <v>1984</v>
      </c>
      <c r="AK70" s="1" t="s">
        <v>37</v>
      </c>
      <c r="AL70" s="1" t="s">
        <v>37</v>
      </c>
      <c r="AM70" s="1" t="s">
        <v>37</v>
      </c>
      <c r="AN70" s="1" t="s">
        <v>37</v>
      </c>
      <c r="AO70" s="1" t="s">
        <v>37</v>
      </c>
      <c r="AP70" s="1"/>
      <c r="AQ70" s="1" t="s">
        <v>37</v>
      </c>
      <c r="AR70" s="1" t="s">
        <v>37</v>
      </c>
    </row>
    <row r="71" spans="1:44" ht="12.75">
      <c r="A71" s="9">
        <v>1985</v>
      </c>
      <c r="B71">
        <v>198</v>
      </c>
      <c r="C71">
        <v>107</v>
      </c>
      <c r="D71">
        <v>7</v>
      </c>
      <c r="E71">
        <v>0</v>
      </c>
      <c r="F71">
        <v>107</v>
      </c>
      <c r="G71" s="32" t="s">
        <v>39</v>
      </c>
      <c r="H71" s="2">
        <f aca="true" t="shared" si="64" ref="H71:H86">SUM(B71:G71)</f>
        <v>419</v>
      </c>
      <c r="J71" s="9">
        <v>1985</v>
      </c>
      <c r="K71" s="2">
        <f t="shared" si="61"/>
        <v>198</v>
      </c>
      <c r="L71" s="2">
        <f t="shared" si="62"/>
        <v>107</v>
      </c>
      <c r="M71" s="2">
        <f t="shared" si="54"/>
        <v>114</v>
      </c>
      <c r="N71" s="2">
        <f aca="true" t="shared" si="65" ref="N71:N85">H71</f>
        <v>419</v>
      </c>
      <c r="Z71" s="9">
        <v>1985</v>
      </c>
      <c r="AA71" s="2">
        <f t="shared" si="63"/>
        <v>2629537</v>
      </c>
      <c r="AB71" s="2">
        <f t="shared" si="63"/>
        <v>120330</v>
      </c>
      <c r="AC71" s="1">
        <f t="shared" si="63"/>
        <v>19016</v>
      </c>
      <c r="AD71" s="1">
        <f t="shared" si="63"/>
        <v>46856</v>
      </c>
      <c r="AE71" s="1">
        <f t="shared" si="63"/>
        <v>392984</v>
      </c>
      <c r="AF71" s="1"/>
      <c r="AG71" s="2">
        <f t="shared" si="63"/>
        <v>3208723</v>
      </c>
      <c r="AJ71" s="9">
        <v>1985</v>
      </c>
      <c r="AK71" s="1">
        <f aca="true" t="shared" si="66" ref="AK71:AK85">(B71/AA71)*100000</f>
        <v>7.52984270614941</v>
      </c>
      <c r="AL71" s="1">
        <f t="shared" si="56"/>
        <v>88.92213080694756</v>
      </c>
      <c r="AM71" s="1">
        <f t="shared" si="57"/>
        <v>36.8111064366849</v>
      </c>
      <c r="AN71" s="1">
        <f t="shared" si="58"/>
        <v>0</v>
      </c>
      <c r="AO71" s="1">
        <f t="shared" si="59"/>
        <v>27.22757160596869</v>
      </c>
      <c r="AP71" s="1"/>
      <c r="AQ71" s="1">
        <f t="shared" si="60"/>
        <v>13.058154287546792</v>
      </c>
      <c r="AR71" s="1">
        <f aca="true" t="shared" si="67" ref="AR71:AR85">(SUM(D71:F71)/SUM(AC71:AE71))*100000</f>
        <v>24.84439562738637</v>
      </c>
    </row>
    <row r="72" spans="1:44" ht="12.75">
      <c r="A72" s="9">
        <v>1986</v>
      </c>
      <c r="B72">
        <v>259</v>
      </c>
      <c r="C72">
        <v>124</v>
      </c>
      <c r="D72">
        <v>3</v>
      </c>
      <c r="E72">
        <v>0</v>
      </c>
      <c r="F72">
        <v>162</v>
      </c>
      <c r="G72" s="32" t="s">
        <v>39</v>
      </c>
      <c r="H72" s="2">
        <f t="shared" si="64"/>
        <v>548</v>
      </c>
      <c r="J72" s="9">
        <v>1986</v>
      </c>
      <c r="K72" s="2">
        <f t="shared" si="61"/>
        <v>259</v>
      </c>
      <c r="L72" s="2">
        <f t="shared" si="62"/>
        <v>124</v>
      </c>
      <c r="M72" s="2">
        <f t="shared" si="54"/>
        <v>165</v>
      </c>
      <c r="N72" s="2">
        <f t="shared" si="65"/>
        <v>548</v>
      </c>
      <c r="Z72" s="9">
        <v>1986</v>
      </c>
      <c r="AA72" s="2">
        <f t="shared" si="63"/>
        <v>2646030</v>
      </c>
      <c r="AB72" s="2">
        <f t="shared" si="63"/>
        <v>122893</v>
      </c>
      <c r="AC72" s="1">
        <f t="shared" si="63"/>
        <v>19693</v>
      </c>
      <c r="AD72" s="1">
        <f t="shared" si="63"/>
        <v>49230</v>
      </c>
      <c r="AE72" s="1">
        <f t="shared" si="63"/>
        <v>399604</v>
      </c>
      <c r="AF72" s="1"/>
      <c r="AG72" s="2">
        <f t="shared" si="63"/>
        <v>3237450</v>
      </c>
      <c r="AJ72" s="9">
        <v>1986</v>
      </c>
      <c r="AK72" s="1">
        <f t="shared" si="66"/>
        <v>9.788248810482118</v>
      </c>
      <c r="AL72" s="1">
        <f t="shared" si="56"/>
        <v>100.90078360850497</v>
      </c>
      <c r="AM72" s="1">
        <f t="shared" si="57"/>
        <v>15.233839435332351</v>
      </c>
      <c r="AN72" s="1">
        <f t="shared" si="58"/>
        <v>0</v>
      </c>
      <c r="AO72" s="1">
        <f t="shared" si="59"/>
        <v>40.540134733386054</v>
      </c>
      <c r="AP72" s="1"/>
      <c r="AQ72" s="1">
        <f t="shared" si="60"/>
        <v>16.926902345982178</v>
      </c>
      <c r="AR72" s="1">
        <f t="shared" si="67"/>
        <v>35.21675378366668</v>
      </c>
    </row>
    <row r="73" spans="1:44" ht="12.75">
      <c r="A73" s="9">
        <v>1987</v>
      </c>
      <c r="B73">
        <v>331</v>
      </c>
      <c r="C73">
        <v>161</v>
      </c>
      <c r="D73">
        <v>7</v>
      </c>
      <c r="E73">
        <v>2</v>
      </c>
      <c r="F73">
        <v>204</v>
      </c>
      <c r="G73" s="32" t="s">
        <v>39</v>
      </c>
      <c r="H73" s="2">
        <f t="shared" si="64"/>
        <v>705</v>
      </c>
      <c r="J73" s="9">
        <v>1987</v>
      </c>
      <c r="K73" s="2">
        <f t="shared" si="61"/>
        <v>331</v>
      </c>
      <c r="L73" s="2">
        <f t="shared" si="62"/>
        <v>161</v>
      </c>
      <c r="M73" s="2">
        <f t="shared" si="54"/>
        <v>213</v>
      </c>
      <c r="N73" s="2">
        <f t="shared" si="65"/>
        <v>705</v>
      </c>
      <c r="Z73" s="9">
        <v>1987</v>
      </c>
      <c r="AA73" s="2">
        <f t="shared" si="63"/>
        <v>2656720</v>
      </c>
      <c r="AB73" s="2">
        <f t="shared" si="63"/>
        <v>125103</v>
      </c>
      <c r="AC73" s="1">
        <f t="shared" si="63"/>
        <v>20361</v>
      </c>
      <c r="AD73" s="1">
        <f t="shared" si="63"/>
        <v>51281</v>
      </c>
      <c r="AE73" s="1">
        <f t="shared" si="63"/>
        <v>407015</v>
      </c>
      <c r="AF73" s="1"/>
      <c r="AG73" s="2">
        <f t="shared" si="63"/>
        <v>3260480</v>
      </c>
      <c r="AJ73" s="9">
        <v>1987</v>
      </c>
      <c r="AK73" s="1">
        <f t="shared" si="66"/>
        <v>12.458971965431058</v>
      </c>
      <c r="AL73" s="1">
        <f t="shared" si="56"/>
        <v>128.6939561801076</v>
      </c>
      <c r="AM73" s="1">
        <f t="shared" si="57"/>
        <v>34.37945091105545</v>
      </c>
      <c r="AN73" s="1">
        <f t="shared" si="58"/>
        <v>3.9000799516390083</v>
      </c>
      <c r="AO73" s="1">
        <f t="shared" si="59"/>
        <v>50.121002911440605</v>
      </c>
      <c r="AP73" s="1"/>
      <c r="AQ73" s="1">
        <f t="shared" si="60"/>
        <v>21.622583177936992</v>
      </c>
      <c r="AR73" s="1">
        <f t="shared" si="67"/>
        <v>44.4995059092419</v>
      </c>
    </row>
    <row r="74" spans="1:44" ht="12.75">
      <c r="A74" s="9">
        <v>1988</v>
      </c>
      <c r="B74">
        <v>209</v>
      </c>
      <c r="C74">
        <v>98</v>
      </c>
      <c r="D74">
        <v>3</v>
      </c>
      <c r="E74">
        <v>2</v>
      </c>
      <c r="F74">
        <v>131</v>
      </c>
      <c r="G74" s="32" t="s">
        <v>39</v>
      </c>
      <c r="H74" s="2">
        <f t="shared" si="64"/>
        <v>443</v>
      </c>
      <c r="J74" s="9">
        <v>1988</v>
      </c>
      <c r="K74" s="2">
        <f t="shared" si="61"/>
        <v>209</v>
      </c>
      <c r="L74" s="2">
        <f t="shared" si="62"/>
        <v>98</v>
      </c>
      <c r="M74" s="2">
        <f t="shared" si="54"/>
        <v>136</v>
      </c>
      <c r="N74" s="2">
        <f t="shared" si="65"/>
        <v>443</v>
      </c>
      <c r="Z74" s="9">
        <v>1988</v>
      </c>
      <c r="AA74" s="2">
        <f t="shared" si="63"/>
        <v>2650229</v>
      </c>
      <c r="AB74" s="2">
        <f t="shared" si="63"/>
        <v>125790</v>
      </c>
      <c r="AC74" s="1">
        <f t="shared" si="63"/>
        <v>20908</v>
      </c>
      <c r="AD74" s="1">
        <f t="shared" si="63"/>
        <v>53015</v>
      </c>
      <c r="AE74" s="1">
        <f t="shared" si="63"/>
        <v>412338</v>
      </c>
      <c r="AF74" s="1"/>
      <c r="AG74" s="2">
        <f t="shared" si="63"/>
        <v>3262280</v>
      </c>
      <c r="AJ74" s="9">
        <v>1988</v>
      </c>
      <c r="AK74" s="1">
        <f t="shared" si="66"/>
        <v>7.886110973806414</v>
      </c>
      <c r="AL74" s="1">
        <f t="shared" si="56"/>
        <v>77.90762381747356</v>
      </c>
      <c r="AM74" s="1">
        <f t="shared" si="57"/>
        <v>14.348574708245646</v>
      </c>
      <c r="AN74" s="1">
        <f t="shared" si="58"/>
        <v>3.77251721210978</v>
      </c>
      <c r="AO74" s="1">
        <f t="shared" si="59"/>
        <v>31.770052723736356</v>
      </c>
      <c r="AP74" s="1"/>
      <c r="AQ74" s="1">
        <f t="shared" si="60"/>
        <v>13.579459764336598</v>
      </c>
      <c r="AR74" s="1">
        <f t="shared" si="67"/>
        <v>27.968518964095416</v>
      </c>
    </row>
    <row r="75" spans="1:44" ht="12.75">
      <c r="A75" s="9">
        <v>1989</v>
      </c>
      <c r="B75">
        <v>199</v>
      </c>
      <c r="C75">
        <v>93</v>
      </c>
      <c r="D75">
        <v>5</v>
      </c>
      <c r="E75">
        <v>0</v>
      </c>
      <c r="F75">
        <v>121</v>
      </c>
      <c r="G75" s="32" t="s">
        <v>39</v>
      </c>
      <c r="H75" s="2">
        <f t="shared" si="64"/>
        <v>418</v>
      </c>
      <c r="J75" s="9">
        <v>1989</v>
      </c>
      <c r="K75" s="2">
        <f t="shared" si="61"/>
        <v>199</v>
      </c>
      <c r="L75" s="2">
        <f t="shared" si="62"/>
        <v>93</v>
      </c>
      <c r="M75" s="2">
        <f t="shared" si="54"/>
        <v>126</v>
      </c>
      <c r="N75" s="2">
        <f t="shared" si="65"/>
        <v>418</v>
      </c>
      <c r="Z75" s="9">
        <v>1989</v>
      </c>
      <c r="AA75" s="2">
        <f t="shared" si="63"/>
        <v>2653612</v>
      </c>
      <c r="AB75" s="2">
        <f t="shared" si="63"/>
        <v>127183</v>
      </c>
      <c r="AC75" s="1">
        <f t="shared" si="63"/>
        <v>21546</v>
      </c>
      <c r="AD75" s="1">
        <f t="shared" si="63"/>
        <v>55119</v>
      </c>
      <c r="AE75" s="1">
        <f t="shared" si="63"/>
        <v>418362</v>
      </c>
      <c r="AF75" s="1"/>
      <c r="AG75" s="2">
        <f t="shared" si="63"/>
        <v>3275822</v>
      </c>
      <c r="AJ75" s="9">
        <v>1989</v>
      </c>
      <c r="AK75" s="1">
        <f t="shared" si="66"/>
        <v>7.499212394276179</v>
      </c>
      <c r="AL75" s="1">
        <f t="shared" si="56"/>
        <v>73.12298027252069</v>
      </c>
      <c r="AM75" s="1">
        <f t="shared" si="57"/>
        <v>23.20616355704075</v>
      </c>
      <c r="AN75" s="1">
        <f t="shared" si="58"/>
        <v>0</v>
      </c>
      <c r="AO75" s="1">
        <f t="shared" si="59"/>
        <v>28.922320860881246</v>
      </c>
      <c r="AP75" s="1"/>
      <c r="AQ75" s="1">
        <f t="shared" si="60"/>
        <v>12.760156076856434</v>
      </c>
      <c r="AR75" s="1">
        <f t="shared" si="67"/>
        <v>25.45315710052179</v>
      </c>
    </row>
    <row r="76" spans="1:44" ht="12.75">
      <c r="A76" s="9">
        <v>1990</v>
      </c>
      <c r="B76">
        <v>187</v>
      </c>
      <c r="C76">
        <v>119</v>
      </c>
      <c r="D76">
        <v>6</v>
      </c>
      <c r="E76">
        <v>0</v>
      </c>
      <c r="F76">
        <v>127</v>
      </c>
      <c r="G76" s="32" t="s">
        <v>39</v>
      </c>
      <c r="H76" s="2">
        <f t="shared" si="64"/>
        <v>439</v>
      </c>
      <c r="J76" s="9">
        <v>1990</v>
      </c>
      <c r="K76" s="2">
        <f t="shared" si="61"/>
        <v>187</v>
      </c>
      <c r="L76" s="2">
        <f t="shared" si="62"/>
        <v>119</v>
      </c>
      <c r="M76" s="2">
        <f t="shared" si="54"/>
        <v>133</v>
      </c>
      <c r="N76" s="2">
        <f t="shared" si="65"/>
        <v>439</v>
      </c>
      <c r="Z76" s="9">
        <v>1990</v>
      </c>
      <c r="AA76" s="2">
        <f t="shared" si="63"/>
        <v>2666442</v>
      </c>
      <c r="AB76" s="2">
        <f t="shared" si="63"/>
        <v>129089</v>
      </c>
      <c r="AC76" s="1">
        <f t="shared" si="63"/>
        <v>22203</v>
      </c>
      <c r="AD76" s="1">
        <f t="shared" si="63"/>
        <v>57687</v>
      </c>
      <c r="AE76" s="1">
        <f t="shared" si="63"/>
        <v>428441</v>
      </c>
      <c r="AF76" s="1"/>
      <c r="AG76" s="2">
        <f t="shared" si="63"/>
        <v>3303862</v>
      </c>
      <c r="AJ76" s="9">
        <v>1990</v>
      </c>
      <c r="AK76" s="1">
        <f t="shared" si="66"/>
        <v>7.013090852904358</v>
      </c>
      <c r="AL76" s="1">
        <f t="shared" si="56"/>
        <v>92.18446188288699</v>
      </c>
      <c r="AM76" s="1">
        <f t="shared" si="57"/>
        <v>27.023375219564922</v>
      </c>
      <c r="AN76" s="1">
        <f t="shared" si="58"/>
        <v>0</v>
      </c>
      <c r="AO76" s="1">
        <f t="shared" si="59"/>
        <v>29.64235448988309</v>
      </c>
      <c r="AP76" s="1"/>
      <c r="AQ76" s="1">
        <f t="shared" si="60"/>
        <v>13.287479925008975</v>
      </c>
      <c r="AR76" s="1">
        <f t="shared" si="67"/>
        <v>26.164054523528957</v>
      </c>
    </row>
    <row r="77" spans="1:44" ht="12.75">
      <c r="A77" s="9">
        <v>1991</v>
      </c>
      <c r="B77">
        <v>150</v>
      </c>
      <c r="C77">
        <v>99</v>
      </c>
      <c r="D77">
        <v>10</v>
      </c>
      <c r="E77">
        <v>1</v>
      </c>
      <c r="F77">
        <v>94</v>
      </c>
      <c r="G77" s="32" t="s">
        <v>39</v>
      </c>
      <c r="H77" s="2">
        <f t="shared" si="64"/>
        <v>354</v>
      </c>
      <c r="J77" s="9">
        <v>1991</v>
      </c>
      <c r="K77" s="2">
        <f t="shared" si="61"/>
        <v>150</v>
      </c>
      <c r="L77" s="2">
        <f t="shared" si="62"/>
        <v>99</v>
      </c>
      <c r="M77" s="2">
        <f t="shared" si="54"/>
        <v>105</v>
      </c>
      <c r="N77" s="2">
        <f t="shared" si="65"/>
        <v>354</v>
      </c>
      <c r="Z77" s="9">
        <v>1991</v>
      </c>
      <c r="AA77" s="2">
        <f t="shared" si="63"/>
        <v>2711730</v>
      </c>
      <c r="AB77" s="2">
        <f t="shared" si="63"/>
        <v>132939</v>
      </c>
      <c r="AC77" s="1">
        <f t="shared" si="63"/>
        <v>22522</v>
      </c>
      <c r="AD77" s="1">
        <f t="shared" si="63"/>
        <v>59820</v>
      </c>
      <c r="AE77" s="1">
        <f t="shared" si="63"/>
        <v>440556</v>
      </c>
      <c r="AF77" s="1"/>
      <c r="AG77" s="2">
        <f t="shared" si="63"/>
        <v>3367567</v>
      </c>
      <c r="AJ77" s="9">
        <v>1991</v>
      </c>
      <c r="AK77" s="1">
        <f t="shared" si="66"/>
        <v>5.53152415616599</v>
      </c>
      <c r="AL77" s="1">
        <f t="shared" si="56"/>
        <v>74.47024575181098</v>
      </c>
      <c r="AM77" s="1">
        <f t="shared" si="57"/>
        <v>44.401030103898414</v>
      </c>
      <c r="AN77" s="1">
        <f t="shared" si="58"/>
        <v>1.6716817118020728</v>
      </c>
      <c r="AO77" s="1">
        <f t="shared" si="59"/>
        <v>21.336674565775972</v>
      </c>
      <c r="AP77" s="1"/>
      <c r="AQ77" s="1">
        <f t="shared" si="60"/>
        <v>10.512040294966663</v>
      </c>
      <c r="AR77" s="1">
        <f t="shared" si="67"/>
        <v>20.08039808911107</v>
      </c>
    </row>
    <row r="78" spans="1:44" ht="12.75">
      <c r="A78" s="9">
        <v>1992</v>
      </c>
      <c r="B78">
        <v>324</v>
      </c>
      <c r="C78">
        <v>208</v>
      </c>
      <c r="D78">
        <v>24</v>
      </c>
      <c r="E78">
        <v>1</v>
      </c>
      <c r="F78">
        <v>197</v>
      </c>
      <c r="G78" s="32" t="s">
        <v>39</v>
      </c>
      <c r="H78" s="2">
        <f t="shared" si="64"/>
        <v>754</v>
      </c>
      <c r="J78" s="9">
        <v>1992</v>
      </c>
      <c r="K78" s="2">
        <f t="shared" si="61"/>
        <v>324</v>
      </c>
      <c r="L78" s="2">
        <f t="shared" si="62"/>
        <v>208</v>
      </c>
      <c r="M78" s="2">
        <f t="shared" si="54"/>
        <v>222</v>
      </c>
      <c r="N78" s="2">
        <f t="shared" si="65"/>
        <v>754</v>
      </c>
      <c r="Z78" s="9">
        <v>1992</v>
      </c>
      <c r="AA78" s="2">
        <f t="shared" si="63"/>
        <v>2779309</v>
      </c>
      <c r="AB78" s="2">
        <f t="shared" si="63"/>
        <v>136991</v>
      </c>
      <c r="AC78" s="1">
        <f t="shared" si="63"/>
        <v>23154</v>
      </c>
      <c r="AD78" s="1">
        <f t="shared" si="63"/>
        <v>63861</v>
      </c>
      <c r="AE78" s="1">
        <f t="shared" si="63"/>
        <v>456680</v>
      </c>
      <c r="AF78" s="1"/>
      <c r="AG78" s="2">
        <f t="shared" si="63"/>
        <v>3459995</v>
      </c>
      <c r="AJ78" s="9">
        <v>1992</v>
      </c>
      <c r="AK78" s="1">
        <f t="shared" si="66"/>
        <v>11.657573878974954</v>
      </c>
      <c r="AL78" s="1">
        <f t="shared" si="56"/>
        <v>151.8347920666321</v>
      </c>
      <c r="AM78" s="1">
        <f t="shared" si="57"/>
        <v>103.65379632029024</v>
      </c>
      <c r="AN78" s="1">
        <f t="shared" si="58"/>
        <v>1.5659009411064657</v>
      </c>
      <c r="AO78" s="1">
        <f t="shared" si="59"/>
        <v>43.137426644477536</v>
      </c>
      <c r="AP78" s="1"/>
      <c r="AQ78" s="1">
        <f t="shared" si="60"/>
        <v>21.791939005692203</v>
      </c>
      <c r="AR78" s="1">
        <f t="shared" si="67"/>
        <v>40.83171631153496</v>
      </c>
    </row>
    <row r="79" spans="1:44" ht="12.75">
      <c r="A79" s="9">
        <v>1993</v>
      </c>
      <c r="B79">
        <v>337</v>
      </c>
      <c r="C79">
        <v>228</v>
      </c>
      <c r="D79">
        <v>18</v>
      </c>
      <c r="E79">
        <v>0</v>
      </c>
      <c r="F79">
        <v>231</v>
      </c>
      <c r="G79" s="32" t="s">
        <v>39</v>
      </c>
      <c r="H79" s="2">
        <f t="shared" si="64"/>
        <v>814</v>
      </c>
      <c r="J79" s="9">
        <v>1993</v>
      </c>
      <c r="K79" s="2">
        <f t="shared" si="61"/>
        <v>337</v>
      </c>
      <c r="L79" s="2">
        <f t="shared" si="62"/>
        <v>228</v>
      </c>
      <c r="M79" s="2">
        <f t="shared" si="54"/>
        <v>249</v>
      </c>
      <c r="N79" s="2">
        <f t="shared" si="65"/>
        <v>814</v>
      </c>
      <c r="Z79" s="9">
        <v>1993</v>
      </c>
      <c r="AA79" s="2">
        <f t="shared" si="63"/>
        <v>2851608</v>
      </c>
      <c r="AB79" s="2">
        <f t="shared" si="63"/>
        <v>141047</v>
      </c>
      <c r="AC79" s="1">
        <f t="shared" si="63"/>
        <v>23784</v>
      </c>
      <c r="AD79" s="1">
        <f t="shared" si="63"/>
        <v>67949</v>
      </c>
      <c r="AE79" s="1">
        <f t="shared" si="63"/>
        <v>476496</v>
      </c>
      <c r="AF79" s="1"/>
      <c r="AG79" s="2">
        <f t="shared" si="63"/>
        <v>3560884</v>
      </c>
      <c r="AJ79" s="9">
        <v>1993</v>
      </c>
      <c r="AK79" s="1">
        <f t="shared" si="66"/>
        <v>11.817893623527498</v>
      </c>
      <c r="AL79" s="1">
        <f t="shared" si="56"/>
        <v>161.64824491127072</v>
      </c>
      <c r="AM79" s="1">
        <f t="shared" si="57"/>
        <v>75.68113017154388</v>
      </c>
      <c r="AN79" s="1">
        <f t="shared" si="58"/>
        <v>0</v>
      </c>
      <c r="AO79" s="1">
        <f t="shared" si="59"/>
        <v>48.478895940364666</v>
      </c>
      <c r="AP79" s="1"/>
      <c r="AQ79" s="1">
        <f t="shared" si="60"/>
        <v>22.8594921935115</v>
      </c>
      <c r="AR79" s="1">
        <f t="shared" si="67"/>
        <v>43.820361157209504</v>
      </c>
    </row>
    <row r="80" spans="1:44" ht="12.75">
      <c r="A80" s="9">
        <v>1994</v>
      </c>
      <c r="B80">
        <v>378</v>
      </c>
      <c r="C80">
        <v>272</v>
      </c>
      <c r="D80">
        <v>28</v>
      </c>
      <c r="E80">
        <v>1</v>
      </c>
      <c r="F80">
        <v>214</v>
      </c>
      <c r="G80" s="32" t="s">
        <v>39</v>
      </c>
      <c r="H80" s="2">
        <f t="shared" si="64"/>
        <v>893</v>
      </c>
      <c r="J80" s="9">
        <v>1994</v>
      </c>
      <c r="K80" s="2">
        <f t="shared" si="61"/>
        <v>378</v>
      </c>
      <c r="L80" s="2">
        <f t="shared" si="62"/>
        <v>272</v>
      </c>
      <c r="M80" s="2">
        <f t="shared" si="54"/>
        <v>243</v>
      </c>
      <c r="N80" s="2">
        <f t="shared" si="65"/>
        <v>893</v>
      </c>
      <c r="Z80" s="9">
        <v>1994</v>
      </c>
      <c r="AA80" s="2">
        <f t="shared" si="63"/>
        <v>2919546</v>
      </c>
      <c r="AB80" s="2">
        <f t="shared" si="63"/>
        <v>144157</v>
      </c>
      <c r="AC80" s="1">
        <f t="shared" si="63"/>
        <v>24206</v>
      </c>
      <c r="AD80" s="1">
        <f t="shared" si="63"/>
        <v>71700</v>
      </c>
      <c r="AE80" s="1">
        <f t="shared" si="63"/>
        <v>494301</v>
      </c>
      <c r="AF80" s="1"/>
      <c r="AG80" s="2">
        <f t="shared" si="63"/>
        <v>3653910</v>
      </c>
      <c r="AJ80" s="9">
        <v>1994</v>
      </c>
      <c r="AK80" s="1">
        <f t="shared" si="66"/>
        <v>12.947218505890984</v>
      </c>
      <c r="AL80" s="1">
        <f t="shared" si="56"/>
        <v>188.68317181961334</v>
      </c>
      <c r="AM80" s="1">
        <f t="shared" si="57"/>
        <v>115.67379988432619</v>
      </c>
      <c r="AN80" s="1">
        <f t="shared" si="58"/>
        <v>1.394700139470014</v>
      </c>
      <c r="AO80" s="1">
        <f t="shared" si="59"/>
        <v>43.293458843902805</v>
      </c>
      <c r="AP80" s="1"/>
      <c r="AQ80" s="1">
        <f t="shared" si="60"/>
        <v>24.43957295062002</v>
      </c>
      <c r="AR80" s="1">
        <f t="shared" si="67"/>
        <v>41.17199558798862</v>
      </c>
    </row>
    <row r="81" spans="1:44" ht="12.75">
      <c r="A81" s="9">
        <v>1995</v>
      </c>
      <c r="B81">
        <v>386</v>
      </c>
      <c r="C81">
        <v>253</v>
      </c>
      <c r="D81">
        <v>21</v>
      </c>
      <c r="E81">
        <v>1</v>
      </c>
      <c r="F81">
        <v>208</v>
      </c>
      <c r="G81" s="32" t="s">
        <v>39</v>
      </c>
      <c r="H81" s="2">
        <f t="shared" si="64"/>
        <v>869</v>
      </c>
      <c r="J81" s="9">
        <v>1995</v>
      </c>
      <c r="K81" s="2">
        <f t="shared" si="61"/>
        <v>386</v>
      </c>
      <c r="L81" s="2">
        <f t="shared" si="62"/>
        <v>253</v>
      </c>
      <c r="M81" s="2">
        <f t="shared" si="54"/>
        <v>230</v>
      </c>
      <c r="N81" s="2">
        <f t="shared" si="65"/>
        <v>869</v>
      </c>
      <c r="Z81" s="9">
        <v>1995</v>
      </c>
      <c r="AA81" s="2">
        <f t="shared" si="63"/>
        <v>2977692</v>
      </c>
      <c r="AB81" s="2">
        <f t="shared" si="63"/>
        <v>146048</v>
      </c>
      <c r="AC81" s="1">
        <f t="shared" si="63"/>
        <v>24684</v>
      </c>
      <c r="AD81" s="1">
        <f t="shared" si="63"/>
        <v>75859</v>
      </c>
      <c r="AE81" s="1">
        <f t="shared" si="63"/>
        <v>513778</v>
      </c>
      <c r="AF81" s="1"/>
      <c r="AG81" s="2">
        <f t="shared" si="63"/>
        <v>3738061</v>
      </c>
      <c r="AJ81" s="9">
        <v>1995</v>
      </c>
      <c r="AK81" s="1">
        <f t="shared" si="66"/>
        <v>12.963059980683026</v>
      </c>
      <c r="AL81" s="1">
        <f t="shared" si="56"/>
        <v>173.23071866783522</v>
      </c>
      <c r="AM81" s="1">
        <f t="shared" si="57"/>
        <v>85.0753524550316</v>
      </c>
      <c r="AN81" s="1">
        <f t="shared" si="58"/>
        <v>1.3182351467854836</v>
      </c>
      <c r="AO81" s="1">
        <f t="shared" si="59"/>
        <v>40.48441155518532</v>
      </c>
      <c r="AP81" s="1"/>
      <c r="AQ81" s="1">
        <f t="shared" si="60"/>
        <v>23.247346685888754</v>
      </c>
      <c r="AR81" s="1">
        <f t="shared" si="67"/>
        <v>37.43970985852673</v>
      </c>
    </row>
    <row r="82" spans="1:44" ht="12.75">
      <c r="A82" s="9">
        <v>1996</v>
      </c>
      <c r="B82">
        <v>410</v>
      </c>
      <c r="C82">
        <v>299</v>
      </c>
      <c r="D82">
        <v>34</v>
      </c>
      <c r="E82">
        <v>2</v>
      </c>
      <c r="F82">
        <v>312</v>
      </c>
      <c r="G82" s="32" t="s">
        <v>39</v>
      </c>
      <c r="H82" s="2">
        <f t="shared" si="64"/>
        <v>1057</v>
      </c>
      <c r="J82" s="9">
        <v>1996</v>
      </c>
      <c r="K82" s="2">
        <f t="shared" si="61"/>
        <v>410</v>
      </c>
      <c r="L82" s="2">
        <f t="shared" si="62"/>
        <v>299</v>
      </c>
      <c r="M82" s="2">
        <f t="shared" si="54"/>
        <v>348</v>
      </c>
      <c r="N82" s="2">
        <f t="shared" si="65"/>
        <v>1057</v>
      </c>
      <c r="Z82" s="9">
        <v>1996</v>
      </c>
      <c r="AA82" s="2">
        <f t="shared" si="63"/>
        <v>3026511</v>
      </c>
      <c r="AB82" s="2">
        <f t="shared" si="63"/>
        <v>148233</v>
      </c>
      <c r="AC82" s="1">
        <f t="shared" si="63"/>
        <v>25117</v>
      </c>
      <c r="AD82" s="1">
        <f t="shared" si="63"/>
        <v>79215</v>
      </c>
      <c r="AE82" s="1">
        <f t="shared" si="63"/>
        <v>533640</v>
      </c>
      <c r="AF82" s="1"/>
      <c r="AG82" s="2">
        <f t="shared" si="63"/>
        <v>3812716</v>
      </c>
      <c r="AJ82" s="9">
        <v>1996</v>
      </c>
      <c r="AK82" s="1">
        <f t="shared" si="66"/>
        <v>13.546952249636629</v>
      </c>
      <c r="AL82" s="1">
        <f t="shared" si="56"/>
        <v>201.7094709005417</v>
      </c>
      <c r="AM82" s="1">
        <f t="shared" si="57"/>
        <v>135.3664848508978</v>
      </c>
      <c r="AN82" s="1">
        <f t="shared" si="58"/>
        <v>2.5247743482926213</v>
      </c>
      <c r="AO82" s="1">
        <f t="shared" si="59"/>
        <v>58.46638183044749</v>
      </c>
      <c r="AP82" s="1"/>
      <c r="AQ82" s="1">
        <f t="shared" si="60"/>
        <v>27.72301949581348</v>
      </c>
      <c r="AR82" s="1">
        <f t="shared" si="67"/>
        <v>54.54784849491828</v>
      </c>
    </row>
    <row r="83" spans="1:44" ht="12.75">
      <c r="A83" s="9">
        <v>1997</v>
      </c>
      <c r="B83">
        <v>513</v>
      </c>
      <c r="C83">
        <v>347</v>
      </c>
      <c r="D83">
        <v>31</v>
      </c>
      <c r="E83">
        <v>3</v>
      </c>
      <c r="F83">
        <v>352</v>
      </c>
      <c r="G83" s="32" t="s">
        <v>39</v>
      </c>
      <c r="H83" s="2">
        <f t="shared" si="64"/>
        <v>1246</v>
      </c>
      <c r="J83" s="9">
        <v>1997</v>
      </c>
      <c r="K83" s="2">
        <f t="shared" si="61"/>
        <v>513</v>
      </c>
      <c r="L83" s="2">
        <f t="shared" si="62"/>
        <v>347</v>
      </c>
      <c r="M83" s="2">
        <f t="shared" si="54"/>
        <v>386</v>
      </c>
      <c r="N83" s="2">
        <f t="shared" si="65"/>
        <v>1246</v>
      </c>
      <c r="Z83" s="9">
        <v>1997</v>
      </c>
      <c r="AA83" s="2">
        <f t="shared" si="63"/>
        <v>3075558</v>
      </c>
      <c r="AB83" s="2">
        <f t="shared" si="63"/>
        <v>150906</v>
      </c>
      <c r="AC83" s="1">
        <f t="shared" si="63"/>
        <v>25390</v>
      </c>
      <c r="AD83" s="1">
        <f t="shared" si="63"/>
        <v>83046</v>
      </c>
      <c r="AE83" s="1">
        <f t="shared" si="63"/>
        <v>556393</v>
      </c>
      <c r="AF83" s="1"/>
      <c r="AG83" s="2">
        <f t="shared" si="63"/>
        <v>3891293</v>
      </c>
      <c r="AJ83" s="9">
        <v>1997</v>
      </c>
      <c r="AK83" s="1">
        <f t="shared" si="66"/>
        <v>16.679900037651706</v>
      </c>
      <c r="AL83" s="1">
        <f t="shared" si="56"/>
        <v>229.94446874213085</v>
      </c>
      <c r="AM83" s="1">
        <f t="shared" si="57"/>
        <v>122.09531311539978</v>
      </c>
      <c r="AN83" s="1">
        <f t="shared" si="58"/>
        <v>3.612455747417094</v>
      </c>
      <c r="AO83" s="1">
        <f t="shared" si="59"/>
        <v>63.26463488936777</v>
      </c>
      <c r="AP83" s="1"/>
      <c r="AQ83" s="1">
        <f t="shared" si="60"/>
        <v>32.02020510920149</v>
      </c>
      <c r="AR83" s="1">
        <f t="shared" si="67"/>
        <v>58.06004250717102</v>
      </c>
    </row>
    <row r="84" spans="1:44" ht="12.75">
      <c r="A84" s="9">
        <v>1998</v>
      </c>
      <c r="B84">
        <v>658</v>
      </c>
      <c r="C84">
        <v>451</v>
      </c>
      <c r="D84">
        <v>29</v>
      </c>
      <c r="E84">
        <v>4</v>
      </c>
      <c r="F84">
        <v>408</v>
      </c>
      <c r="G84" s="32" t="s">
        <v>39</v>
      </c>
      <c r="H84" s="2">
        <f t="shared" si="64"/>
        <v>1550</v>
      </c>
      <c r="J84" s="9">
        <v>1998</v>
      </c>
      <c r="K84" s="2">
        <f t="shared" si="61"/>
        <v>658</v>
      </c>
      <c r="L84" s="2">
        <f t="shared" si="62"/>
        <v>451</v>
      </c>
      <c r="M84" s="2">
        <f t="shared" si="54"/>
        <v>441</v>
      </c>
      <c r="N84" s="2">
        <f t="shared" si="65"/>
        <v>1550</v>
      </c>
      <c r="Z84" s="9">
        <v>1998</v>
      </c>
      <c r="AA84" s="2">
        <f t="shared" si="63"/>
        <v>3122879</v>
      </c>
      <c r="AB84" s="2">
        <f t="shared" si="63"/>
        <v>154615</v>
      </c>
      <c r="AC84" s="1">
        <f t="shared" si="63"/>
        <v>25858</v>
      </c>
      <c r="AD84" s="1">
        <f t="shared" si="63"/>
        <v>87324</v>
      </c>
      <c r="AE84" s="1">
        <f t="shared" si="63"/>
        <v>578291</v>
      </c>
      <c r="AF84" s="1"/>
      <c r="AG84" s="2">
        <f t="shared" si="63"/>
        <v>3968967</v>
      </c>
      <c r="AJ84" s="9">
        <v>1998</v>
      </c>
      <c r="AK84" s="1">
        <f t="shared" si="66"/>
        <v>21.070300834582447</v>
      </c>
      <c r="AL84" s="1">
        <f t="shared" si="56"/>
        <v>291.6922678912137</v>
      </c>
      <c r="AM84" s="1">
        <f t="shared" si="57"/>
        <v>112.15097842060483</v>
      </c>
      <c r="AN84" s="1">
        <f t="shared" si="58"/>
        <v>4.580642206037287</v>
      </c>
      <c r="AO84" s="1">
        <f t="shared" si="59"/>
        <v>70.55271480967195</v>
      </c>
      <c r="AP84" s="1"/>
      <c r="AQ84" s="1">
        <f t="shared" si="60"/>
        <v>39.05298280383788</v>
      </c>
      <c r="AR84" s="1">
        <f t="shared" si="67"/>
        <v>63.77689367480726</v>
      </c>
    </row>
    <row r="85" spans="1:44" ht="12.75">
      <c r="A85" s="9">
        <v>1999</v>
      </c>
      <c r="B85">
        <v>822</v>
      </c>
      <c r="C85">
        <v>623</v>
      </c>
      <c r="D85">
        <v>40</v>
      </c>
      <c r="E85">
        <v>4</v>
      </c>
      <c r="F85">
        <v>543</v>
      </c>
      <c r="G85" s="32" t="s">
        <v>39</v>
      </c>
      <c r="H85" s="2">
        <f t="shared" si="64"/>
        <v>2032</v>
      </c>
      <c r="J85" s="9">
        <v>1999</v>
      </c>
      <c r="K85" s="2">
        <f t="shared" si="61"/>
        <v>822</v>
      </c>
      <c r="L85" s="2">
        <f t="shared" si="62"/>
        <v>623</v>
      </c>
      <c r="M85" s="2">
        <f t="shared" si="54"/>
        <v>587</v>
      </c>
      <c r="N85" s="2">
        <f t="shared" si="65"/>
        <v>2032</v>
      </c>
      <c r="Z85" s="9">
        <v>1999</v>
      </c>
      <c r="AA85" s="2">
        <f t="shared" si="63"/>
        <v>3177332</v>
      </c>
      <c r="AB85" s="2">
        <f t="shared" si="63"/>
        <v>157578</v>
      </c>
      <c r="AC85" s="1">
        <f t="shared" si="63"/>
        <v>26340</v>
      </c>
      <c r="AD85" s="1">
        <f t="shared" si="63"/>
        <v>91301</v>
      </c>
      <c r="AE85" s="1">
        <f t="shared" si="63"/>
        <v>603582</v>
      </c>
      <c r="AF85" s="1"/>
      <c r="AG85" s="2">
        <f t="shared" si="63"/>
        <v>4056133</v>
      </c>
      <c r="AJ85" s="9">
        <v>1999</v>
      </c>
      <c r="AK85" s="1">
        <f t="shared" si="66"/>
        <v>25.870762010391108</v>
      </c>
      <c r="AL85" s="1">
        <f>(C85/AB85)*100000</f>
        <v>395.35975834190054</v>
      </c>
      <c r="AM85" s="1">
        <f>(D85/AC85)*100000</f>
        <v>151.86028853454823</v>
      </c>
      <c r="AN85" s="1">
        <f>(E85/AD85)*100000</f>
        <v>4.381113021763179</v>
      </c>
      <c r="AO85" s="1">
        <f>(F85/AE85)*100000</f>
        <v>89.96292135948389</v>
      </c>
      <c r="AP85" s="1"/>
      <c r="AQ85" s="1">
        <f t="shared" si="60"/>
        <v>50.096976603084755</v>
      </c>
      <c r="AR85" s="1">
        <f t="shared" si="67"/>
        <v>81.38952862013552</v>
      </c>
    </row>
    <row r="86" spans="1:14" s="4" customFormat="1" ht="12.75">
      <c r="A86" s="13" t="s">
        <v>13</v>
      </c>
      <c r="B86" s="21">
        <f aca="true" t="shared" si="68" ref="B86:G86">SUM(B69:B85)</f>
        <v>5510</v>
      </c>
      <c r="C86" s="21">
        <f t="shared" si="68"/>
        <v>3554</v>
      </c>
      <c r="D86" s="4">
        <f t="shared" si="68"/>
        <v>270</v>
      </c>
      <c r="E86" s="4">
        <f t="shared" si="68"/>
        <v>21</v>
      </c>
      <c r="F86" s="4">
        <f t="shared" si="68"/>
        <v>3494</v>
      </c>
      <c r="G86" s="4">
        <f t="shared" si="68"/>
        <v>0</v>
      </c>
      <c r="H86" s="21">
        <f t="shared" si="64"/>
        <v>12849</v>
      </c>
      <c r="J86" s="13" t="s">
        <v>13</v>
      </c>
      <c r="K86" s="21">
        <f>B86</f>
        <v>5510</v>
      </c>
      <c r="L86" s="21">
        <f>C86</f>
        <v>3554</v>
      </c>
      <c r="M86" s="21">
        <f t="shared" si="54"/>
        <v>3785</v>
      </c>
      <c r="N86" s="21">
        <f>H86</f>
        <v>12849</v>
      </c>
    </row>
    <row r="88" spans="1:44" s="27" customFormat="1" ht="29.25" customHeight="1">
      <c r="A88" s="31" t="str">
        <f>CONCATENATE("Other &amp; Not Known Admissions, All Races: ",$A$1)</f>
        <v>Other &amp; Not Known Admissions, All Races: COLORADO</v>
      </c>
      <c r="B88" s="31"/>
      <c r="C88" s="31"/>
      <c r="D88" s="31"/>
      <c r="E88" s="31"/>
      <c r="F88" s="31"/>
      <c r="G88" s="31"/>
      <c r="H88" s="31"/>
      <c r="J88" s="31" t="str">
        <f>CONCATENATE("Other &amp; Not Known Admissions, BW + Balance: ",$A$1)</f>
        <v>Other &amp; Not Known Admissions, BW + Balance: COLORADO</v>
      </c>
      <c r="K88" s="31"/>
      <c r="L88" s="31"/>
      <c r="M88" s="31"/>
      <c r="N88" s="31"/>
      <c r="Z88" s="30" t="str">
        <f>CONCATENATE("Total Population, By Race: ",$A$1)</f>
        <v>Total Population, By Race: COLORADO</v>
      </c>
      <c r="AA88" s="30"/>
      <c r="AB88" s="30"/>
      <c r="AC88" s="30"/>
      <c r="AD88" s="30"/>
      <c r="AE88" s="30"/>
      <c r="AF88" s="30"/>
      <c r="AG88" s="30"/>
      <c r="AJ88" s="30" t="str">
        <f>CONCATENATE("Other &amp; Not Known Admissions, per 100,000 By Race: ",$A$1)</f>
        <v>Other &amp; Not Known Admissions, per 100,000 By Race: COLORADO</v>
      </c>
      <c r="AK88" s="30"/>
      <c r="AL88" s="30"/>
      <c r="AM88" s="30"/>
      <c r="AN88" s="30"/>
      <c r="AO88" s="30"/>
      <c r="AP88" s="30"/>
      <c r="AQ88" s="30"/>
      <c r="AR88" s="30"/>
    </row>
    <row r="89" spans="1:44" ht="12.75">
      <c r="A89" s="20" t="s">
        <v>25</v>
      </c>
      <c r="B89" s="19" t="s">
        <v>11</v>
      </c>
      <c r="C89" s="19" t="s">
        <v>12</v>
      </c>
      <c r="D89" s="19" t="s">
        <v>28</v>
      </c>
      <c r="E89" s="19" t="s">
        <v>29</v>
      </c>
      <c r="F89" s="19" t="s">
        <v>26</v>
      </c>
      <c r="G89" s="19" t="s">
        <v>27</v>
      </c>
      <c r="H89" s="19" t="s">
        <v>13</v>
      </c>
      <c r="J89" s="20" t="s">
        <v>25</v>
      </c>
      <c r="K89" s="19" t="s">
        <v>11</v>
      </c>
      <c r="L89" s="19" t="s">
        <v>12</v>
      </c>
      <c r="M89" s="19" t="s">
        <v>30</v>
      </c>
      <c r="N89" s="19" t="s">
        <v>13</v>
      </c>
      <c r="Z89" s="20" t="s">
        <v>25</v>
      </c>
      <c r="AA89" s="19" t="s">
        <v>11</v>
      </c>
      <c r="AB89" s="19" t="s">
        <v>12</v>
      </c>
      <c r="AC89" s="19" t="s">
        <v>28</v>
      </c>
      <c r="AD89" s="19" t="s">
        <v>29</v>
      </c>
      <c r="AE89" s="19" t="s">
        <v>26</v>
      </c>
      <c r="AF89" s="19" t="s">
        <v>27</v>
      </c>
      <c r="AG89" s="19" t="s">
        <v>13</v>
      </c>
      <c r="AJ89" s="20" t="s">
        <v>25</v>
      </c>
      <c r="AK89" s="19" t="s">
        <v>11</v>
      </c>
      <c r="AL89" s="19" t="s">
        <v>12</v>
      </c>
      <c r="AM89" s="19" t="s">
        <v>28</v>
      </c>
      <c r="AN89" s="19" t="s">
        <v>29</v>
      </c>
      <c r="AO89" s="19" t="s">
        <v>26</v>
      </c>
      <c r="AP89" s="19" t="s">
        <v>27</v>
      </c>
      <c r="AQ89" s="19" t="s">
        <v>13</v>
      </c>
      <c r="AR89" s="19" t="s">
        <v>30</v>
      </c>
    </row>
    <row r="90" spans="1:44" ht="12.75">
      <c r="A90" s="9">
        <v>1983</v>
      </c>
      <c r="B90">
        <v>6</v>
      </c>
      <c r="C90">
        <v>4</v>
      </c>
      <c r="D90">
        <v>0</v>
      </c>
      <c r="E90">
        <v>0</v>
      </c>
      <c r="F90">
        <v>3</v>
      </c>
      <c r="G90" s="32" t="s">
        <v>39</v>
      </c>
      <c r="H90" s="2">
        <f>SUM(B90:G90)</f>
        <v>13</v>
      </c>
      <c r="J90" s="9">
        <v>1983</v>
      </c>
      <c r="K90" s="2">
        <f>B90</f>
        <v>6</v>
      </c>
      <c r="L90" s="2">
        <f>C90</f>
        <v>4</v>
      </c>
      <c r="M90" s="2">
        <f aca="true" t="shared" si="69" ref="M90:M107">N90-K90-L90</f>
        <v>3</v>
      </c>
      <c r="N90" s="2">
        <f>H90</f>
        <v>13</v>
      </c>
      <c r="Z90" s="9">
        <v>1983</v>
      </c>
      <c r="AA90" s="2">
        <f>AA69</f>
        <v>2581691</v>
      </c>
      <c r="AB90" s="2">
        <f aca="true" t="shared" si="70" ref="AB90:AG90">AB69</f>
        <v>114105</v>
      </c>
      <c r="AC90" s="1">
        <f t="shared" si="70"/>
        <v>17617</v>
      </c>
      <c r="AD90" s="1">
        <f t="shared" si="70"/>
        <v>41863</v>
      </c>
      <c r="AE90" s="1">
        <f t="shared" si="70"/>
        <v>378353</v>
      </c>
      <c r="AF90" s="1"/>
      <c r="AG90" s="2">
        <f t="shared" si="70"/>
        <v>3133629</v>
      </c>
      <c r="AJ90" s="9">
        <v>1983</v>
      </c>
      <c r="AK90" s="1">
        <f>(B90/AA90)*100000</f>
        <v>0.23240581463854504</v>
      </c>
      <c r="AL90" s="1">
        <f aca="true" t="shared" si="71" ref="AL90:AL105">(C90/AB90)*100000</f>
        <v>3.505543140090268</v>
      </c>
      <c r="AM90" s="1">
        <f aca="true" t="shared" si="72" ref="AM90:AM105">(D90/AC90)*100000</f>
        <v>0</v>
      </c>
      <c r="AN90" s="1">
        <f aca="true" t="shared" si="73" ref="AN90:AN105">(E90/AD90)*100000</f>
        <v>0</v>
      </c>
      <c r="AO90" s="1">
        <f aca="true" t="shared" si="74" ref="AO90:AO105">(F90/AE90)*100000</f>
        <v>0.792910324485335</v>
      </c>
      <c r="AP90" s="1"/>
      <c r="AQ90" s="1">
        <f aca="true" t="shared" si="75" ref="AQ90:AQ106">(H90/AG90)*100000</f>
        <v>0.4148544706472911</v>
      </c>
      <c r="AR90" s="1">
        <f>(SUM(D90:F90)/SUM(AC90:AE90))*100000</f>
        <v>0.6851927561421821</v>
      </c>
    </row>
    <row r="91" spans="1:44" ht="12.75">
      <c r="A91" s="9">
        <v>1984</v>
      </c>
      <c r="B91">
        <v>264</v>
      </c>
      <c r="C91">
        <v>146</v>
      </c>
      <c r="D91">
        <v>10</v>
      </c>
      <c r="E91">
        <v>1</v>
      </c>
      <c r="F91">
        <v>229</v>
      </c>
      <c r="G91" s="32" t="s">
        <v>39</v>
      </c>
      <c r="H91" s="2">
        <f aca="true" t="shared" si="76" ref="H91:H107">SUM(B91:G91)</f>
        <v>650</v>
      </c>
      <c r="J91" s="9">
        <v>1984</v>
      </c>
      <c r="K91" s="2">
        <f aca="true" t="shared" si="77" ref="K91:K106">B91</f>
        <v>264</v>
      </c>
      <c r="L91" s="2">
        <f aca="true" t="shared" si="78" ref="L91:L106">C91</f>
        <v>146</v>
      </c>
      <c r="M91" s="2">
        <f t="shared" si="69"/>
        <v>240</v>
      </c>
      <c r="N91" s="2">
        <f aca="true" t="shared" si="79" ref="N91:N106">H91</f>
        <v>650</v>
      </c>
      <c r="Z91" s="9">
        <v>1984</v>
      </c>
      <c r="AA91" s="2">
        <f aca="true" t="shared" si="80" ref="AA91:AG106">AA70</f>
        <v>2604945</v>
      </c>
      <c r="AB91" s="2">
        <f t="shared" si="80"/>
        <v>116754</v>
      </c>
      <c r="AC91" s="1">
        <f t="shared" si="80"/>
        <v>18297</v>
      </c>
      <c r="AD91" s="1">
        <f t="shared" si="80"/>
        <v>44309</v>
      </c>
      <c r="AE91" s="1">
        <f t="shared" si="80"/>
        <v>385686</v>
      </c>
      <c r="AF91" s="1"/>
      <c r="AG91" s="2">
        <f t="shared" si="80"/>
        <v>3169991</v>
      </c>
      <c r="AJ91" s="9">
        <v>1984</v>
      </c>
      <c r="AK91" s="1">
        <f aca="true" t="shared" si="81" ref="AK91:AK106">(B91/AA91)*100000</f>
        <v>10.13457097942567</v>
      </c>
      <c r="AL91" s="1">
        <f t="shared" si="71"/>
        <v>125.04924884800522</v>
      </c>
      <c r="AM91" s="1">
        <f t="shared" si="72"/>
        <v>54.65376837732962</v>
      </c>
      <c r="AN91" s="1">
        <f t="shared" si="73"/>
        <v>2.2568778352027805</v>
      </c>
      <c r="AO91" s="1">
        <f t="shared" si="74"/>
        <v>59.374724516834945</v>
      </c>
      <c r="AP91" s="1"/>
      <c r="AQ91" s="1">
        <f t="shared" si="75"/>
        <v>20.50479007669107</v>
      </c>
      <c r="AR91" s="1">
        <f aca="true" t="shared" si="82" ref="AR91:AR106">(SUM(D91:F91)/SUM(AC91:AE91))*100000</f>
        <v>53.5365342232295</v>
      </c>
    </row>
    <row r="92" spans="1:44" ht="12.75">
      <c r="A92" s="9">
        <v>1985</v>
      </c>
      <c r="B92">
        <v>8</v>
      </c>
      <c r="C92">
        <v>1</v>
      </c>
      <c r="D92">
        <v>1</v>
      </c>
      <c r="E92">
        <v>0</v>
      </c>
      <c r="F92">
        <v>2</v>
      </c>
      <c r="G92" s="32" t="s">
        <v>39</v>
      </c>
      <c r="H92" s="2">
        <f t="shared" si="76"/>
        <v>12</v>
      </c>
      <c r="J92" s="9">
        <v>1985</v>
      </c>
      <c r="K92" s="2">
        <f t="shared" si="77"/>
        <v>8</v>
      </c>
      <c r="L92" s="2">
        <f t="shared" si="78"/>
        <v>1</v>
      </c>
      <c r="M92" s="2">
        <f t="shared" si="69"/>
        <v>3</v>
      </c>
      <c r="N92" s="2">
        <f t="shared" si="79"/>
        <v>12</v>
      </c>
      <c r="Z92" s="9">
        <v>1985</v>
      </c>
      <c r="AA92" s="2">
        <f t="shared" si="80"/>
        <v>2629537</v>
      </c>
      <c r="AB92" s="2">
        <f t="shared" si="80"/>
        <v>120330</v>
      </c>
      <c r="AC92" s="1">
        <f t="shared" si="80"/>
        <v>19016</v>
      </c>
      <c r="AD92" s="1">
        <f t="shared" si="80"/>
        <v>46856</v>
      </c>
      <c r="AE92" s="1">
        <f t="shared" si="80"/>
        <v>392984</v>
      </c>
      <c r="AF92" s="1"/>
      <c r="AG92" s="2">
        <f t="shared" si="80"/>
        <v>3208723</v>
      </c>
      <c r="AJ92" s="9">
        <v>1985</v>
      </c>
      <c r="AK92" s="1">
        <f t="shared" si="81"/>
        <v>0.3042360689353297</v>
      </c>
      <c r="AL92" s="1">
        <f t="shared" si="71"/>
        <v>0.8310479514667997</v>
      </c>
      <c r="AM92" s="1">
        <f t="shared" si="72"/>
        <v>5.258729490954986</v>
      </c>
      <c r="AN92" s="1">
        <f t="shared" si="73"/>
        <v>0</v>
      </c>
      <c r="AO92" s="1">
        <f t="shared" si="74"/>
        <v>0.5089265720741811</v>
      </c>
      <c r="AP92" s="1"/>
      <c r="AQ92" s="1">
        <f t="shared" si="75"/>
        <v>0.3739805523879749</v>
      </c>
      <c r="AR92" s="1">
        <f t="shared" si="82"/>
        <v>0.6537998849312202</v>
      </c>
    </row>
    <row r="93" spans="1:44" ht="12.75">
      <c r="A93" s="9">
        <v>1986</v>
      </c>
      <c r="B93">
        <v>9</v>
      </c>
      <c r="C93">
        <v>3</v>
      </c>
      <c r="D93">
        <v>0</v>
      </c>
      <c r="E93">
        <v>0</v>
      </c>
      <c r="F93">
        <v>1</v>
      </c>
      <c r="G93" s="32" t="s">
        <v>39</v>
      </c>
      <c r="H93" s="2">
        <f t="shared" si="76"/>
        <v>13</v>
      </c>
      <c r="J93" s="9">
        <v>1986</v>
      </c>
      <c r="K93" s="2">
        <f t="shared" si="77"/>
        <v>9</v>
      </c>
      <c r="L93" s="2">
        <f t="shared" si="78"/>
        <v>3</v>
      </c>
      <c r="M93" s="2">
        <f t="shared" si="69"/>
        <v>1</v>
      </c>
      <c r="N93" s="2">
        <f t="shared" si="79"/>
        <v>13</v>
      </c>
      <c r="Z93" s="9">
        <v>1986</v>
      </c>
      <c r="AA93" s="2">
        <f t="shared" si="80"/>
        <v>2646030</v>
      </c>
      <c r="AB93" s="2">
        <f t="shared" si="80"/>
        <v>122893</v>
      </c>
      <c r="AC93" s="1">
        <f t="shared" si="80"/>
        <v>19693</v>
      </c>
      <c r="AD93" s="1">
        <f t="shared" si="80"/>
        <v>49230</v>
      </c>
      <c r="AE93" s="1">
        <f t="shared" si="80"/>
        <v>399604</v>
      </c>
      <c r="AF93" s="1"/>
      <c r="AG93" s="2">
        <f t="shared" si="80"/>
        <v>3237450</v>
      </c>
      <c r="AJ93" s="9">
        <v>1986</v>
      </c>
      <c r="AK93" s="1">
        <f t="shared" si="81"/>
        <v>0.3401321980476412</v>
      </c>
      <c r="AL93" s="1">
        <f t="shared" si="71"/>
        <v>2.441147990528346</v>
      </c>
      <c r="AM93" s="1">
        <f t="shared" si="72"/>
        <v>0</v>
      </c>
      <c r="AN93" s="1">
        <f t="shared" si="73"/>
        <v>0</v>
      </c>
      <c r="AO93" s="1">
        <f t="shared" si="74"/>
        <v>0.2502477452678151</v>
      </c>
      <c r="AP93" s="1"/>
      <c r="AQ93" s="1">
        <f t="shared" si="75"/>
        <v>0.40155060309811735</v>
      </c>
      <c r="AR93" s="1">
        <f t="shared" si="82"/>
        <v>0.21343487141616171</v>
      </c>
    </row>
    <row r="94" spans="1:44" ht="12.75">
      <c r="A94" s="9">
        <v>1987</v>
      </c>
      <c r="B94">
        <v>5</v>
      </c>
      <c r="C94">
        <v>2</v>
      </c>
      <c r="D94">
        <v>0</v>
      </c>
      <c r="E94">
        <v>0</v>
      </c>
      <c r="F94">
        <v>1</v>
      </c>
      <c r="G94" s="32" t="s">
        <v>39</v>
      </c>
      <c r="H94" s="2">
        <f t="shared" si="76"/>
        <v>8</v>
      </c>
      <c r="J94" s="9">
        <v>1987</v>
      </c>
      <c r="K94" s="2">
        <f t="shared" si="77"/>
        <v>5</v>
      </c>
      <c r="L94" s="2">
        <f t="shared" si="78"/>
        <v>2</v>
      </c>
      <c r="M94" s="2">
        <f t="shared" si="69"/>
        <v>1</v>
      </c>
      <c r="N94" s="2">
        <f t="shared" si="79"/>
        <v>8</v>
      </c>
      <c r="Z94" s="9">
        <v>1987</v>
      </c>
      <c r="AA94" s="2">
        <f t="shared" si="80"/>
        <v>2656720</v>
      </c>
      <c r="AB94" s="2">
        <f t="shared" si="80"/>
        <v>125103</v>
      </c>
      <c r="AC94" s="1">
        <f t="shared" si="80"/>
        <v>20361</v>
      </c>
      <c r="AD94" s="1">
        <f t="shared" si="80"/>
        <v>51281</v>
      </c>
      <c r="AE94" s="1">
        <f t="shared" si="80"/>
        <v>407015</v>
      </c>
      <c r="AF94" s="1"/>
      <c r="AG94" s="2">
        <f t="shared" si="80"/>
        <v>3260480</v>
      </c>
      <c r="AJ94" s="9">
        <v>1987</v>
      </c>
      <c r="AK94" s="1">
        <f t="shared" si="81"/>
        <v>0.18820199343551447</v>
      </c>
      <c r="AL94" s="1">
        <f t="shared" si="71"/>
        <v>1.598682685467175</v>
      </c>
      <c r="AM94" s="1">
        <f t="shared" si="72"/>
        <v>0</v>
      </c>
      <c r="AN94" s="1">
        <f t="shared" si="73"/>
        <v>0</v>
      </c>
      <c r="AO94" s="1">
        <f t="shared" si="74"/>
        <v>0.24569119074235596</v>
      </c>
      <c r="AP94" s="1"/>
      <c r="AQ94" s="1">
        <f t="shared" si="75"/>
        <v>0.24536264599077437</v>
      </c>
      <c r="AR94" s="1">
        <f t="shared" si="82"/>
        <v>0.20891786811850657</v>
      </c>
    </row>
    <row r="95" spans="1:44" ht="12.75">
      <c r="A95" s="9">
        <v>1988</v>
      </c>
      <c r="B95">
        <v>31</v>
      </c>
      <c r="C95">
        <v>20</v>
      </c>
      <c r="D95">
        <v>2</v>
      </c>
      <c r="E95">
        <v>0</v>
      </c>
      <c r="F95">
        <v>15</v>
      </c>
      <c r="G95" s="32" t="s">
        <v>39</v>
      </c>
      <c r="H95" s="2">
        <f t="shared" si="76"/>
        <v>68</v>
      </c>
      <c r="J95" s="9">
        <v>1988</v>
      </c>
      <c r="K95" s="2">
        <f t="shared" si="77"/>
        <v>31</v>
      </c>
      <c r="L95" s="2">
        <f t="shared" si="78"/>
        <v>20</v>
      </c>
      <c r="M95" s="2">
        <f t="shared" si="69"/>
        <v>17</v>
      </c>
      <c r="N95" s="2">
        <f t="shared" si="79"/>
        <v>68</v>
      </c>
      <c r="Z95" s="9">
        <v>1988</v>
      </c>
      <c r="AA95" s="2">
        <f t="shared" si="80"/>
        <v>2650229</v>
      </c>
      <c r="AB95" s="2">
        <f t="shared" si="80"/>
        <v>125790</v>
      </c>
      <c r="AC95" s="1">
        <f t="shared" si="80"/>
        <v>20908</v>
      </c>
      <c r="AD95" s="1">
        <f t="shared" si="80"/>
        <v>53015</v>
      </c>
      <c r="AE95" s="1">
        <f t="shared" si="80"/>
        <v>412338</v>
      </c>
      <c r="AF95" s="1"/>
      <c r="AG95" s="2">
        <f t="shared" si="80"/>
        <v>3262280</v>
      </c>
      <c r="AJ95" s="9">
        <v>1988</v>
      </c>
      <c r="AK95" s="1">
        <f t="shared" si="81"/>
        <v>1.1697102401339659</v>
      </c>
      <c r="AL95" s="1">
        <f t="shared" si="71"/>
        <v>15.899515064790524</v>
      </c>
      <c r="AM95" s="1">
        <f t="shared" si="72"/>
        <v>9.565716472163766</v>
      </c>
      <c r="AN95" s="1">
        <f t="shared" si="73"/>
        <v>0</v>
      </c>
      <c r="AO95" s="1">
        <f t="shared" si="74"/>
        <v>3.6377922966110328</v>
      </c>
      <c r="AP95" s="1"/>
      <c r="AQ95" s="1">
        <f t="shared" si="75"/>
        <v>2.084431747121645</v>
      </c>
      <c r="AR95" s="1">
        <f t="shared" si="82"/>
        <v>3.496064870511927</v>
      </c>
    </row>
    <row r="96" spans="1:44" ht="12.75">
      <c r="A96" s="9">
        <v>1989</v>
      </c>
      <c r="B96">
        <v>61</v>
      </c>
      <c r="C96">
        <v>25</v>
      </c>
      <c r="D96">
        <v>0</v>
      </c>
      <c r="E96">
        <v>0</v>
      </c>
      <c r="F96">
        <v>47</v>
      </c>
      <c r="G96" s="32" t="s">
        <v>39</v>
      </c>
      <c r="H96" s="2">
        <f t="shared" si="76"/>
        <v>133</v>
      </c>
      <c r="J96" s="9">
        <v>1989</v>
      </c>
      <c r="K96" s="2">
        <f t="shared" si="77"/>
        <v>61</v>
      </c>
      <c r="L96" s="2">
        <f t="shared" si="78"/>
        <v>25</v>
      </c>
      <c r="M96" s="2">
        <f t="shared" si="69"/>
        <v>47</v>
      </c>
      <c r="N96" s="2">
        <f t="shared" si="79"/>
        <v>133</v>
      </c>
      <c r="Z96" s="9">
        <v>1989</v>
      </c>
      <c r="AA96" s="2">
        <f t="shared" si="80"/>
        <v>2653612</v>
      </c>
      <c r="AB96" s="2">
        <f t="shared" si="80"/>
        <v>127183</v>
      </c>
      <c r="AC96" s="1">
        <f t="shared" si="80"/>
        <v>21546</v>
      </c>
      <c r="AD96" s="1">
        <f t="shared" si="80"/>
        <v>55119</v>
      </c>
      <c r="AE96" s="1">
        <f t="shared" si="80"/>
        <v>418362</v>
      </c>
      <c r="AF96" s="1"/>
      <c r="AG96" s="2">
        <f t="shared" si="80"/>
        <v>3275822</v>
      </c>
      <c r="AJ96" s="9">
        <v>1989</v>
      </c>
      <c r="AK96" s="1">
        <f t="shared" si="81"/>
        <v>2.2987535479942056</v>
      </c>
      <c r="AL96" s="1">
        <f t="shared" si="71"/>
        <v>19.65671512702169</v>
      </c>
      <c r="AM96" s="1">
        <f t="shared" si="72"/>
        <v>0</v>
      </c>
      <c r="AN96" s="1">
        <f t="shared" si="73"/>
        <v>0</v>
      </c>
      <c r="AO96" s="1">
        <f t="shared" si="74"/>
        <v>11.234289921168749</v>
      </c>
      <c r="AP96" s="1"/>
      <c r="AQ96" s="1">
        <f t="shared" si="75"/>
        <v>4.060049660817956</v>
      </c>
      <c r="AR96" s="1">
        <f t="shared" si="82"/>
        <v>9.494431616861302</v>
      </c>
    </row>
    <row r="97" spans="1:44" ht="12.75">
      <c r="A97" s="9">
        <v>1990</v>
      </c>
      <c r="B97">
        <v>107</v>
      </c>
      <c r="C97">
        <v>63</v>
      </c>
      <c r="D97">
        <v>2</v>
      </c>
      <c r="E97">
        <v>0</v>
      </c>
      <c r="F97">
        <v>61</v>
      </c>
      <c r="G97" s="32" t="s">
        <v>39</v>
      </c>
      <c r="H97" s="2">
        <f t="shared" si="76"/>
        <v>233</v>
      </c>
      <c r="J97" s="9">
        <v>1990</v>
      </c>
      <c r="K97" s="2">
        <f t="shared" si="77"/>
        <v>107</v>
      </c>
      <c r="L97" s="2">
        <f t="shared" si="78"/>
        <v>63</v>
      </c>
      <c r="M97" s="2">
        <f t="shared" si="69"/>
        <v>63</v>
      </c>
      <c r="N97" s="2">
        <f t="shared" si="79"/>
        <v>233</v>
      </c>
      <c r="Z97" s="9">
        <v>1990</v>
      </c>
      <c r="AA97" s="2">
        <f t="shared" si="80"/>
        <v>2666442</v>
      </c>
      <c r="AB97" s="2">
        <f t="shared" si="80"/>
        <v>129089</v>
      </c>
      <c r="AC97" s="1">
        <f t="shared" si="80"/>
        <v>22203</v>
      </c>
      <c r="AD97" s="1">
        <f t="shared" si="80"/>
        <v>57687</v>
      </c>
      <c r="AE97" s="1">
        <f t="shared" si="80"/>
        <v>428441</v>
      </c>
      <c r="AF97" s="1"/>
      <c r="AG97" s="2">
        <f t="shared" si="80"/>
        <v>3303862</v>
      </c>
      <c r="AJ97" s="9">
        <v>1990</v>
      </c>
      <c r="AK97" s="1">
        <f t="shared" si="81"/>
        <v>4.0128380816083755</v>
      </c>
      <c r="AL97" s="1">
        <f t="shared" si="71"/>
        <v>48.80353864388135</v>
      </c>
      <c r="AM97" s="1">
        <f t="shared" si="72"/>
        <v>9.007791739854975</v>
      </c>
      <c r="AN97" s="1">
        <f t="shared" si="73"/>
        <v>0</v>
      </c>
      <c r="AO97" s="1">
        <f t="shared" si="74"/>
        <v>14.237666329786364</v>
      </c>
      <c r="AP97" s="1"/>
      <c r="AQ97" s="1">
        <f t="shared" si="75"/>
        <v>7.052352670904535</v>
      </c>
      <c r="AR97" s="1">
        <f t="shared" si="82"/>
        <v>12.393499511145299</v>
      </c>
    </row>
    <row r="98" spans="1:44" ht="12.75">
      <c r="A98" s="9">
        <v>1991</v>
      </c>
      <c r="B98">
        <v>79</v>
      </c>
      <c r="C98">
        <v>55</v>
      </c>
      <c r="D98">
        <v>3</v>
      </c>
      <c r="E98">
        <v>1</v>
      </c>
      <c r="F98">
        <v>50</v>
      </c>
      <c r="G98" s="32" t="s">
        <v>39</v>
      </c>
      <c r="H98" s="2">
        <f t="shared" si="76"/>
        <v>188</v>
      </c>
      <c r="J98" s="9">
        <v>1991</v>
      </c>
      <c r="K98" s="2">
        <f t="shared" si="77"/>
        <v>79</v>
      </c>
      <c r="L98" s="2">
        <f t="shared" si="78"/>
        <v>55</v>
      </c>
      <c r="M98" s="2">
        <f t="shared" si="69"/>
        <v>54</v>
      </c>
      <c r="N98" s="2">
        <f t="shared" si="79"/>
        <v>188</v>
      </c>
      <c r="Z98" s="9">
        <v>1991</v>
      </c>
      <c r="AA98" s="2">
        <f t="shared" si="80"/>
        <v>2711730</v>
      </c>
      <c r="AB98" s="2">
        <f t="shared" si="80"/>
        <v>132939</v>
      </c>
      <c r="AC98" s="1">
        <f t="shared" si="80"/>
        <v>22522</v>
      </c>
      <c r="AD98" s="1">
        <f t="shared" si="80"/>
        <v>59820</v>
      </c>
      <c r="AE98" s="1">
        <f t="shared" si="80"/>
        <v>440556</v>
      </c>
      <c r="AF98" s="1"/>
      <c r="AG98" s="2">
        <f t="shared" si="80"/>
        <v>3367567</v>
      </c>
      <c r="AJ98" s="9">
        <v>1991</v>
      </c>
      <c r="AK98" s="1">
        <f t="shared" si="81"/>
        <v>2.913269388914088</v>
      </c>
      <c r="AL98" s="1">
        <f t="shared" si="71"/>
        <v>41.372358751006104</v>
      </c>
      <c r="AM98" s="1">
        <f t="shared" si="72"/>
        <v>13.320309031169522</v>
      </c>
      <c r="AN98" s="1">
        <f t="shared" si="73"/>
        <v>1.6716817118020728</v>
      </c>
      <c r="AO98" s="1">
        <f t="shared" si="74"/>
        <v>11.349294981795731</v>
      </c>
      <c r="AP98" s="1"/>
      <c r="AQ98" s="1">
        <f t="shared" si="75"/>
        <v>5.582665467383425</v>
      </c>
      <c r="AR98" s="1">
        <f t="shared" si="82"/>
        <v>10.327061874399979</v>
      </c>
    </row>
    <row r="99" spans="1:44" ht="12.75">
      <c r="A99" s="9">
        <v>1992</v>
      </c>
      <c r="B99">
        <v>25</v>
      </c>
      <c r="C99">
        <v>9</v>
      </c>
      <c r="D99">
        <v>0</v>
      </c>
      <c r="E99">
        <v>0</v>
      </c>
      <c r="F99">
        <v>11</v>
      </c>
      <c r="G99" s="32" t="s">
        <v>39</v>
      </c>
      <c r="H99" s="2">
        <f t="shared" si="76"/>
        <v>45</v>
      </c>
      <c r="J99" s="9">
        <v>1992</v>
      </c>
      <c r="K99" s="2">
        <f t="shared" si="77"/>
        <v>25</v>
      </c>
      <c r="L99" s="2">
        <f t="shared" si="78"/>
        <v>9</v>
      </c>
      <c r="M99" s="2">
        <f t="shared" si="69"/>
        <v>11</v>
      </c>
      <c r="N99" s="2">
        <f t="shared" si="79"/>
        <v>45</v>
      </c>
      <c r="Z99" s="9">
        <v>1992</v>
      </c>
      <c r="AA99" s="2">
        <f t="shared" si="80"/>
        <v>2779309</v>
      </c>
      <c r="AB99" s="2">
        <f t="shared" si="80"/>
        <v>136991</v>
      </c>
      <c r="AC99" s="1">
        <f t="shared" si="80"/>
        <v>23154</v>
      </c>
      <c r="AD99" s="1">
        <f t="shared" si="80"/>
        <v>63861</v>
      </c>
      <c r="AE99" s="1">
        <f t="shared" si="80"/>
        <v>456680</v>
      </c>
      <c r="AF99" s="1"/>
      <c r="AG99" s="2">
        <f t="shared" si="80"/>
        <v>3459995</v>
      </c>
      <c r="AJ99" s="9">
        <v>1992</v>
      </c>
      <c r="AK99" s="1">
        <f t="shared" si="81"/>
        <v>0.8995041573283143</v>
      </c>
      <c r="AL99" s="1">
        <f t="shared" si="71"/>
        <v>6.569774656729274</v>
      </c>
      <c r="AM99" s="1">
        <f t="shared" si="72"/>
        <v>0</v>
      </c>
      <c r="AN99" s="1">
        <f t="shared" si="73"/>
        <v>0</v>
      </c>
      <c r="AO99" s="1">
        <f t="shared" si="74"/>
        <v>2.408688797407375</v>
      </c>
      <c r="AP99" s="1"/>
      <c r="AQ99" s="1">
        <f t="shared" si="75"/>
        <v>1.3005799141328238</v>
      </c>
      <c r="AR99" s="1">
        <f t="shared" si="82"/>
        <v>2.023193150571552</v>
      </c>
    </row>
    <row r="100" spans="1:44" ht="12.75">
      <c r="A100" s="9">
        <v>1993</v>
      </c>
      <c r="B100">
        <v>54</v>
      </c>
      <c r="C100">
        <v>27</v>
      </c>
      <c r="D100">
        <v>2</v>
      </c>
      <c r="E100">
        <v>0</v>
      </c>
      <c r="F100">
        <v>21</v>
      </c>
      <c r="G100" s="32" t="s">
        <v>39</v>
      </c>
      <c r="H100" s="2">
        <f t="shared" si="76"/>
        <v>104</v>
      </c>
      <c r="J100" s="9">
        <v>1993</v>
      </c>
      <c r="K100" s="2">
        <f t="shared" si="77"/>
        <v>54</v>
      </c>
      <c r="L100" s="2">
        <f t="shared" si="78"/>
        <v>27</v>
      </c>
      <c r="M100" s="2">
        <f t="shared" si="69"/>
        <v>23</v>
      </c>
      <c r="N100" s="2">
        <f t="shared" si="79"/>
        <v>104</v>
      </c>
      <c r="Z100" s="9">
        <v>1993</v>
      </c>
      <c r="AA100" s="2">
        <f t="shared" si="80"/>
        <v>2851608</v>
      </c>
      <c r="AB100" s="2">
        <f t="shared" si="80"/>
        <v>141047</v>
      </c>
      <c r="AC100" s="1">
        <f t="shared" si="80"/>
        <v>23784</v>
      </c>
      <c r="AD100" s="1">
        <f t="shared" si="80"/>
        <v>67949</v>
      </c>
      <c r="AE100" s="1">
        <f t="shared" si="80"/>
        <v>476496</v>
      </c>
      <c r="AF100" s="1"/>
      <c r="AG100" s="2">
        <f t="shared" si="80"/>
        <v>3560884</v>
      </c>
      <c r="AJ100" s="9">
        <v>1993</v>
      </c>
      <c r="AK100" s="1">
        <f t="shared" si="81"/>
        <v>1.8936684144524774</v>
      </c>
      <c r="AL100" s="1">
        <f t="shared" si="71"/>
        <v>19.142555318439953</v>
      </c>
      <c r="AM100" s="1">
        <f t="shared" si="72"/>
        <v>8.409014463504878</v>
      </c>
      <c r="AN100" s="1">
        <f t="shared" si="73"/>
        <v>0</v>
      </c>
      <c r="AO100" s="1">
        <f t="shared" si="74"/>
        <v>4.40717235821497</v>
      </c>
      <c r="AP100" s="1"/>
      <c r="AQ100" s="1">
        <f t="shared" si="75"/>
        <v>2.920623081234884</v>
      </c>
      <c r="AR100" s="1">
        <f t="shared" si="82"/>
        <v>4.04766388199124</v>
      </c>
    </row>
    <row r="101" spans="1:44" ht="12.75">
      <c r="A101" s="9">
        <v>1994</v>
      </c>
      <c r="B101">
        <v>47</v>
      </c>
      <c r="C101">
        <v>26</v>
      </c>
      <c r="D101">
        <v>1</v>
      </c>
      <c r="E101">
        <v>1</v>
      </c>
      <c r="F101">
        <v>24</v>
      </c>
      <c r="G101" s="32" t="s">
        <v>39</v>
      </c>
      <c r="H101" s="2">
        <f t="shared" si="76"/>
        <v>99</v>
      </c>
      <c r="J101" s="9">
        <v>1994</v>
      </c>
      <c r="K101" s="2">
        <f t="shared" si="77"/>
        <v>47</v>
      </c>
      <c r="L101" s="2">
        <f t="shared" si="78"/>
        <v>26</v>
      </c>
      <c r="M101" s="2">
        <f t="shared" si="69"/>
        <v>26</v>
      </c>
      <c r="N101" s="2">
        <f t="shared" si="79"/>
        <v>99</v>
      </c>
      <c r="Z101" s="9">
        <v>1994</v>
      </c>
      <c r="AA101" s="2">
        <f t="shared" si="80"/>
        <v>2919546</v>
      </c>
      <c r="AB101" s="2">
        <f t="shared" si="80"/>
        <v>144157</v>
      </c>
      <c r="AC101" s="1">
        <f t="shared" si="80"/>
        <v>24206</v>
      </c>
      <c r="AD101" s="1">
        <f t="shared" si="80"/>
        <v>71700</v>
      </c>
      <c r="AE101" s="1">
        <f t="shared" si="80"/>
        <v>494301</v>
      </c>
      <c r="AF101" s="1"/>
      <c r="AG101" s="2">
        <f t="shared" si="80"/>
        <v>3653910</v>
      </c>
      <c r="AJ101" s="9">
        <v>1994</v>
      </c>
      <c r="AK101" s="1">
        <f t="shared" si="81"/>
        <v>1.609839338034064</v>
      </c>
      <c r="AL101" s="1">
        <f t="shared" si="71"/>
        <v>18.03589142393363</v>
      </c>
      <c r="AM101" s="1">
        <f t="shared" si="72"/>
        <v>4.1312071387259355</v>
      </c>
      <c r="AN101" s="1">
        <f t="shared" si="73"/>
        <v>1.394700139470014</v>
      </c>
      <c r="AO101" s="1">
        <f t="shared" si="74"/>
        <v>4.855341178755455</v>
      </c>
      <c r="AP101" s="1"/>
      <c r="AQ101" s="1">
        <f t="shared" si="75"/>
        <v>2.7094263405502597</v>
      </c>
      <c r="AR101" s="1">
        <f t="shared" si="82"/>
        <v>4.405234095834174</v>
      </c>
    </row>
    <row r="102" spans="1:44" ht="12.75">
      <c r="A102" s="9">
        <v>1995</v>
      </c>
      <c r="B102">
        <v>51</v>
      </c>
      <c r="C102">
        <v>27</v>
      </c>
      <c r="D102">
        <v>4</v>
      </c>
      <c r="E102">
        <v>1</v>
      </c>
      <c r="F102">
        <v>34</v>
      </c>
      <c r="G102" s="32" t="s">
        <v>39</v>
      </c>
      <c r="H102" s="2">
        <f t="shared" si="76"/>
        <v>117</v>
      </c>
      <c r="J102" s="9">
        <v>1995</v>
      </c>
      <c r="K102" s="2">
        <f t="shared" si="77"/>
        <v>51</v>
      </c>
      <c r="L102" s="2">
        <f t="shared" si="78"/>
        <v>27</v>
      </c>
      <c r="M102" s="2">
        <f t="shared" si="69"/>
        <v>39</v>
      </c>
      <c r="N102" s="2">
        <f t="shared" si="79"/>
        <v>117</v>
      </c>
      <c r="Z102" s="9">
        <v>1995</v>
      </c>
      <c r="AA102" s="2">
        <f t="shared" si="80"/>
        <v>2977692</v>
      </c>
      <c r="AB102" s="2">
        <f t="shared" si="80"/>
        <v>146048</v>
      </c>
      <c r="AC102" s="1">
        <f t="shared" si="80"/>
        <v>24684</v>
      </c>
      <c r="AD102" s="1">
        <f t="shared" si="80"/>
        <v>75859</v>
      </c>
      <c r="AE102" s="1">
        <f t="shared" si="80"/>
        <v>513778</v>
      </c>
      <c r="AF102" s="1"/>
      <c r="AG102" s="2">
        <f t="shared" si="80"/>
        <v>3738061</v>
      </c>
      <c r="AJ102" s="9">
        <v>1995</v>
      </c>
      <c r="AK102" s="1">
        <f t="shared" si="81"/>
        <v>1.7127359041835086</v>
      </c>
      <c r="AL102" s="1">
        <f t="shared" si="71"/>
        <v>18.48707274320771</v>
      </c>
      <c r="AM102" s="1">
        <f t="shared" si="72"/>
        <v>16.20482903905364</v>
      </c>
      <c r="AN102" s="1">
        <f t="shared" si="73"/>
        <v>1.3182351467854836</v>
      </c>
      <c r="AO102" s="1">
        <f t="shared" si="74"/>
        <v>6.6176441965206765</v>
      </c>
      <c r="AP102" s="1"/>
      <c r="AQ102" s="1">
        <f t="shared" si="75"/>
        <v>3.1299649738193147</v>
      </c>
      <c r="AR102" s="1">
        <f t="shared" si="82"/>
        <v>6.348472541228446</v>
      </c>
    </row>
    <row r="103" spans="1:44" ht="12.75">
      <c r="A103" s="9">
        <v>1996</v>
      </c>
      <c r="B103">
        <v>45</v>
      </c>
      <c r="C103">
        <v>28</v>
      </c>
      <c r="D103">
        <v>2</v>
      </c>
      <c r="E103">
        <v>0</v>
      </c>
      <c r="F103">
        <v>41</v>
      </c>
      <c r="G103" s="32" t="s">
        <v>39</v>
      </c>
      <c r="H103" s="2">
        <f t="shared" si="76"/>
        <v>116</v>
      </c>
      <c r="J103" s="9">
        <v>1996</v>
      </c>
      <c r="K103" s="2">
        <f t="shared" si="77"/>
        <v>45</v>
      </c>
      <c r="L103" s="2">
        <f t="shared" si="78"/>
        <v>28</v>
      </c>
      <c r="M103" s="2">
        <f t="shared" si="69"/>
        <v>43</v>
      </c>
      <c r="N103" s="2">
        <f t="shared" si="79"/>
        <v>116</v>
      </c>
      <c r="Z103" s="9">
        <v>1996</v>
      </c>
      <c r="AA103" s="2">
        <f t="shared" si="80"/>
        <v>3026511</v>
      </c>
      <c r="AB103" s="2">
        <f t="shared" si="80"/>
        <v>148233</v>
      </c>
      <c r="AC103" s="1">
        <f t="shared" si="80"/>
        <v>25117</v>
      </c>
      <c r="AD103" s="1">
        <f t="shared" si="80"/>
        <v>79215</v>
      </c>
      <c r="AE103" s="1">
        <f t="shared" si="80"/>
        <v>533640</v>
      </c>
      <c r="AF103" s="1"/>
      <c r="AG103" s="2">
        <f t="shared" si="80"/>
        <v>3812716</v>
      </c>
      <c r="AJ103" s="9">
        <v>1996</v>
      </c>
      <c r="AK103" s="1">
        <f t="shared" si="81"/>
        <v>1.4868606127649957</v>
      </c>
      <c r="AL103" s="1">
        <f t="shared" si="71"/>
        <v>18.88918122145541</v>
      </c>
      <c r="AM103" s="1">
        <f t="shared" si="72"/>
        <v>7.962734402993989</v>
      </c>
      <c r="AN103" s="1">
        <f t="shared" si="73"/>
        <v>0</v>
      </c>
      <c r="AO103" s="1">
        <f t="shared" si="74"/>
        <v>7.683082227719061</v>
      </c>
      <c r="AP103" s="1"/>
      <c r="AQ103" s="1">
        <f t="shared" si="75"/>
        <v>3.0424505785377143</v>
      </c>
      <c r="AR103" s="1">
        <f t="shared" si="82"/>
        <v>6.740107716326108</v>
      </c>
    </row>
    <row r="104" spans="1:44" ht="12.75">
      <c r="A104" s="9">
        <v>1997</v>
      </c>
      <c r="B104">
        <v>42</v>
      </c>
      <c r="C104">
        <v>35</v>
      </c>
      <c r="D104">
        <v>3</v>
      </c>
      <c r="E104">
        <v>0</v>
      </c>
      <c r="F104">
        <v>25</v>
      </c>
      <c r="G104" s="32" t="s">
        <v>39</v>
      </c>
      <c r="H104" s="2">
        <f t="shared" si="76"/>
        <v>105</v>
      </c>
      <c r="J104" s="9">
        <v>1997</v>
      </c>
      <c r="K104" s="2">
        <f t="shared" si="77"/>
        <v>42</v>
      </c>
      <c r="L104" s="2">
        <f t="shared" si="78"/>
        <v>35</v>
      </c>
      <c r="M104" s="2">
        <f t="shared" si="69"/>
        <v>28</v>
      </c>
      <c r="N104" s="2">
        <f t="shared" si="79"/>
        <v>105</v>
      </c>
      <c r="Z104" s="9">
        <v>1997</v>
      </c>
      <c r="AA104" s="2">
        <f t="shared" si="80"/>
        <v>3075558</v>
      </c>
      <c r="AB104" s="2">
        <f t="shared" si="80"/>
        <v>150906</v>
      </c>
      <c r="AC104" s="1">
        <f t="shared" si="80"/>
        <v>25390</v>
      </c>
      <c r="AD104" s="1">
        <f t="shared" si="80"/>
        <v>83046</v>
      </c>
      <c r="AE104" s="1">
        <f t="shared" si="80"/>
        <v>556393</v>
      </c>
      <c r="AF104" s="1"/>
      <c r="AG104" s="2">
        <f t="shared" si="80"/>
        <v>3891293</v>
      </c>
      <c r="AJ104" s="9">
        <v>1997</v>
      </c>
      <c r="AK104" s="1">
        <f t="shared" si="81"/>
        <v>1.365605851035812</v>
      </c>
      <c r="AL104" s="1">
        <f t="shared" si="71"/>
        <v>23.193246126727896</v>
      </c>
      <c r="AM104" s="1">
        <f t="shared" si="72"/>
        <v>11.815675462780622</v>
      </c>
      <c r="AN104" s="1">
        <f t="shared" si="73"/>
        <v>0</v>
      </c>
      <c r="AO104" s="1">
        <f t="shared" si="74"/>
        <v>4.493226909756234</v>
      </c>
      <c r="AP104" s="1"/>
      <c r="AQ104" s="1">
        <f t="shared" si="75"/>
        <v>2.698331891224845</v>
      </c>
      <c r="AR104" s="1">
        <f t="shared" si="82"/>
        <v>4.211609301038312</v>
      </c>
    </row>
    <row r="105" spans="1:44" ht="12.75">
      <c r="A105" s="9">
        <v>1998</v>
      </c>
      <c r="B105">
        <v>49</v>
      </c>
      <c r="C105">
        <v>17</v>
      </c>
      <c r="D105">
        <v>0</v>
      </c>
      <c r="E105">
        <v>0</v>
      </c>
      <c r="F105">
        <v>35</v>
      </c>
      <c r="G105" s="32" t="s">
        <v>39</v>
      </c>
      <c r="H105" s="2">
        <f t="shared" si="76"/>
        <v>101</v>
      </c>
      <c r="J105" s="9">
        <v>1998</v>
      </c>
      <c r="K105" s="2">
        <f t="shared" si="77"/>
        <v>49</v>
      </c>
      <c r="L105" s="2">
        <f t="shared" si="78"/>
        <v>17</v>
      </c>
      <c r="M105" s="2">
        <f t="shared" si="69"/>
        <v>35</v>
      </c>
      <c r="N105" s="2">
        <f t="shared" si="79"/>
        <v>101</v>
      </c>
      <c r="Z105" s="9">
        <v>1998</v>
      </c>
      <c r="AA105" s="2">
        <f t="shared" si="80"/>
        <v>3122879</v>
      </c>
      <c r="AB105" s="2">
        <f t="shared" si="80"/>
        <v>154615</v>
      </c>
      <c r="AC105" s="1">
        <f t="shared" si="80"/>
        <v>25858</v>
      </c>
      <c r="AD105" s="1">
        <f t="shared" si="80"/>
        <v>87324</v>
      </c>
      <c r="AE105" s="1">
        <f t="shared" si="80"/>
        <v>578291</v>
      </c>
      <c r="AF105" s="1"/>
      <c r="AG105" s="2">
        <f t="shared" si="80"/>
        <v>3968967</v>
      </c>
      <c r="AJ105" s="9">
        <v>1998</v>
      </c>
      <c r="AK105" s="1">
        <f t="shared" si="81"/>
        <v>1.569064955766778</v>
      </c>
      <c r="AL105" s="1">
        <f t="shared" si="71"/>
        <v>10.995052226498077</v>
      </c>
      <c r="AM105" s="1">
        <f t="shared" si="72"/>
        <v>0</v>
      </c>
      <c r="AN105" s="1">
        <f t="shared" si="73"/>
        <v>0</v>
      </c>
      <c r="AO105" s="1">
        <f t="shared" si="74"/>
        <v>6.052316221417937</v>
      </c>
      <c r="AP105" s="1"/>
      <c r="AQ105" s="1">
        <f t="shared" si="75"/>
        <v>2.5447427504436293</v>
      </c>
      <c r="AR105" s="1">
        <f t="shared" si="82"/>
        <v>5.061658228159306</v>
      </c>
    </row>
    <row r="106" spans="1:44" ht="12.75">
      <c r="A106" s="9">
        <v>1999</v>
      </c>
      <c r="B106">
        <v>46</v>
      </c>
      <c r="C106">
        <v>19</v>
      </c>
      <c r="D106">
        <v>6</v>
      </c>
      <c r="E106">
        <v>0</v>
      </c>
      <c r="F106">
        <v>40</v>
      </c>
      <c r="G106" s="32" t="s">
        <v>39</v>
      </c>
      <c r="H106" s="2">
        <f t="shared" si="76"/>
        <v>111</v>
      </c>
      <c r="J106" s="9">
        <v>1999</v>
      </c>
      <c r="K106" s="2">
        <f t="shared" si="77"/>
        <v>46</v>
      </c>
      <c r="L106" s="2">
        <f t="shared" si="78"/>
        <v>19</v>
      </c>
      <c r="M106" s="2">
        <f t="shared" si="69"/>
        <v>46</v>
      </c>
      <c r="N106" s="2">
        <f t="shared" si="79"/>
        <v>111</v>
      </c>
      <c r="Z106" s="9">
        <v>1999</v>
      </c>
      <c r="AA106" s="2">
        <f t="shared" si="80"/>
        <v>3177332</v>
      </c>
      <c r="AB106" s="2">
        <f t="shared" si="80"/>
        <v>157578</v>
      </c>
      <c r="AC106" s="1">
        <f t="shared" si="80"/>
        <v>26340</v>
      </c>
      <c r="AD106" s="1">
        <f t="shared" si="80"/>
        <v>91301</v>
      </c>
      <c r="AE106" s="1">
        <f t="shared" si="80"/>
        <v>603582</v>
      </c>
      <c r="AF106" s="1"/>
      <c r="AG106" s="2">
        <f t="shared" si="80"/>
        <v>4056133</v>
      </c>
      <c r="AJ106" s="9">
        <v>1999</v>
      </c>
      <c r="AK106" s="1">
        <f t="shared" si="81"/>
        <v>1.447755538294393</v>
      </c>
      <c r="AL106" s="1">
        <f>(C106/AB106)*100000</f>
        <v>12.057520719897449</v>
      </c>
      <c r="AM106" s="1">
        <f>(D106/AC106)*100000</f>
        <v>22.779043280182233</v>
      </c>
      <c r="AN106" s="1">
        <f>(E106/AD106)*100000</f>
        <v>0</v>
      </c>
      <c r="AO106" s="1">
        <f>(F106/AE106)*100000</f>
        <v>6.627102862577081</v>
      </c>
      <c r="AP106" s="1"/>
      <c r="AQ106" s="1">
        <f t="shared" si="75"/>
        <v>2.7365966549913425</v>
      </c>
      <c r="AR106" s="1">
        <f t="shared" si="82"/>
        <v>6.378055053707383</v>
      </c>
    </row>
    <row r="107" spans="1:14" s="4" customFormat="1" ht="12.75">
      <c r="A107" s="13" t="s">
        <v>13</v>
      </c>
      <c r="B107" s="21">
        <f aca="true" t="shared" si="83" ref="B107:G107">SUM(B90:B106)</f>
        <v>929</v>
      </c>
      <c r="C107" s="21">
        <f t="shared" si="83"/>
        <v>507</v>
      </c>
      <c r="D107" s="4">
        <f t="shared" si="83"/>
        <v>36</v>
      </c>
      <c r="E107" s="4">
        <f t="shared" si="83"/>
        <v>4</v>
      </c>
      <c r="F107" s="4">
        <f t="shared" si="83"/>
        <v>640</v>
      </c>
      <c r="G107" s="4">
        <f t="shared" si="83"/>
        <v>0</v>
      </c>
      <c r="H107" s="21">
        <f t="shared" si="76"/>
        <v>2116</v>
      </c>
      <c r="J107" s="13" t="s">
        <v>13</v>
      </c>
      <c r="K107" s="21">
        <f>B107</f>
        <v>929</v>
      </c>
      <c r="L107" s="21">
        <f>C107</f>
        <v>507</v>
      </c>
      <c r="M107" s="21">
        <f t="shared" si="69"/>
        <v>680</v>
      </c>
      <c r="N107" s="21">
        <f>H107</f>
        <v>2116</v>
      </c>
    </row>
    <row r="109" spans="26:33" ht="12.75">
      <c r="Z109" s="30" t="str">
        <f>CONCATENATE("Percent of Total Population, By Race: ",$A$1)</f>
        <v>Percent of Total Population, By Race: COLORADO</v>
      </c>
      <c r="AA109" s="30"/>
      <c r="AB109" s="30"/>
      <c r="AC109" s="30"/>
      <c r="AD109" s="30"/>
      <c r="AE109" s="30"/>
      <c r="AF109" s="30"/>
      <c r="AG109" s="30"/>
    </row>
    <row r="110" spans="26:33" ht="12.75">
      <c r="Z110" s="20" t="s">
        <v>25</v>
      </c>
      <c r="AA110" s="19" t="s">
        <v>11</v>
      </c>
      <c r="AB110" s="19" t="s">
        <v>12</v>
      </c>
      <c r="AC110" s="19" t="s">
        <v>28</v>
      </c>
      <c r="AD110" s="19" t="s">
        <v>29</v>
      </c>
      <c r="AE110" s="19" t="s">
        <v>26</v>
      </c>
      <c r="AF110" s="19" t="s">
        <v>30</v>
      </c>
      <c r="AG110" s="19" t="s">
        <v>33</v>
      </c>
    </row>
    <row r="111" spans="26:33" ht="12.75">
      <c r="Z111" s="9">
        <v>1983</v>
      </c>
      <c r="AA111" s="2">
        <f aca="true" t="shared" si="84" ref="AA111:AE120">(AA90/$AG90)*100</f>
        <v>82.38661947537503</v>
      </c>
      <c r="AB111" s="2">
        <f t="shared" si="84"/>
        <v>3.6413053364007033</v>
      </c>
      <c r="AC111" s="1">
        <f t="shared" si="84"/>
        <v>0.5621916314917943</v>
      </c>
      <c r="AD111" s="1">
        <f t="shared" si="84"/>
        <v>1.3359271311313496</v>
      </c>
      <c r="AE111" s="1">
        <f t="shared" si="84"/>
        <v>12.073956425601116</v>
      </c>
      <c r="AF111" s="1">
        <f>100-AA111-AB111</f>
        <v>13.972075188224268</v>
      </c>
      <c r="AG111" s="26">
        <f>AB111/AA111</f>
        <v>0.04419777579888531</v>
      </c>
    </row>
    <row r="112" spans="26:33" ht="12.75">
      <c r="Z112" s="9">
        <v>1984</v>
      </c>
      <c r="AA112" s="2">
        <f t="shared" si="84"/>
        <v>82.17515444050156</v>
      </c>
      <c r="AB112" s="2">
        <f t="shared" si="84"/>
        <v>3.6831019394061375</v>
      </c>
      <c r="AC112" s="1">
        <f t="shared" si="84"/>
        <v>0.57719406774341</v>
      </c>
      <c r="AD112" s="1">
        <f t="shared" si="84"/>
        <v>1.3977642207816994</v>
      </c>
      <c r="AE112" s="1">
        <f t="shared" si="84"/>
        <v>12.166785331567187</v>
      </c>
      <c r="AF112" s="1">
        <f aca="true" t="shared" si="85" ref="AF112:AF127">100-AA112-AB112</f>
        <v>14.141743620092305</v>
      </c>
      <c r="AG112" s="26">
        <f aca="true" t="shared" si="86" ref="AG112:AG127">AB112/AA112</f>
        <v>0.04482014015651003</v>
      </c>
    </row>
    <row r="113" spans="26:33" ht="12.75">
      <c r="Z113" s="9">
        <v>1985</v>
      </c>
      <c r="AA113" s="2">
        <f t="shared" si="84"/>
        <v>81.9496416487182</v>
      </c>
      <c r="AB113" s="2">
        <f t="shared" si="84"/>
        <v>3.750089989070418</v>
      </c>
      <c r="AC113" s="1">
        <f t="shared" si="84"/>
        <v>0.5926345153508109</v>
      </c>
      <c r="AD113" s="1">
        <f t="shared" si="84"/>
        <v>1.4602693968909126</v>
      </c>
      <c r="AE113" s="1">
        <f t="shared" si="84"/>
        <v>12.24736444996966</v>
      </c>
      <c r="AF113" s="1">
        <f t="shared" si="85"/>
        <v>14.300268362211384</v>
      </c>
      <c r="AG113" s="26">
        <f t="shared" si="86"/>
        <v>0.04576090771873527</v>
      </c>
    </row>
    <row r="114" spans="26:33" ht="12.75">
      <c r="Z114" s="9">
        <v>1986</v>
      </c>
      <c r="AA114" s="2">
        <f t="shared" si="84"/>
        <v>81.73191863967011</v>
      </c>
      <c r="AB114" s="2">
        <f t="shared" si="84"/>
        <v>3.7959814051182255</v>
      </c>
      <c r="AC114" s="1">
        <f t="shared" si="84"/>
        <v>0.6082873866777866</v>
      </c>
      <c r="AD114" s="1">
        <f t="shared" si="84"/>
        <v>1.5206412454246399</v>
      </c>
      <c r="AE114" s="1">
        <f t="shared" si="84"/>
        <v>12.343171323109237</v>
      </c>
      <c r="AF114" s="1">
        <f t="shared" si="85"/>
        <v>14.472099955211661</v>
      </c>
      <c r="AG114" s="26">
        <f t="shared" si="86"/>
        <v>0.046444295794076405</v>
      </c>
    </row>
    <row r="115" spans="26:33" ht="12.75">
      <c r="Z115" s="9">
        <v>1987</v>
      </c>
      <c r="AA115" s="2">
        <f t="shared" si="84"/>
        <v>81.48248110707625</v>
      </c>
      <c r="AB115" s="2">
        <f t="shared" si="84"/>
        <v>3.8369503876729807</v>
      </c>
      <c r="AC115" s="1">
        <f t="shared" si="84"/>
        <v>0.6244786043772697</v>
      </c>
      <c r="AD115" s="1">
        <f t="shared" si="84"/>
        <v>1.5728052311316125</v>
      </c>
      <c r="AE115" s="1">
        <f t="shared" si="84"/>
        <v>12.48328466974188</v>
      </c>
      <c r="AF115" s="1">
        <f t="shared" si="85"/>
        <v>14.680568505250765</v>
      </c>
      <c r="AG115" s="26">
        <f t="shared" si="86"/>
        <v>0.04708926796952634</v>
      </c>
    </row>
    <row r="116" spans="26:33" ht="12.75">
      <c r="Z116" s="9">
        <v>1988</v>
      </c>
      <c r="AA116" s="2">
        <f t="shared" si="84"/>
        <v>81.23855095209485</v>
      </c>
      <c r="AB116" s="2">
        <f t="shared" si="84"/>
        <v>3.855892198094584</v>
      </c>
      <c r="AC116" s="1">
        <f t="shared" si="84"/>
        <v>0.640901455423814</v>
      </c>
      <c r="AD116" s="1">
        <f t="shared" si="84"/>
        <v>1.6250904275537352</v>
      </c>
      <c r="AE116" s="1">
        <f t="shared" si="84"/>
        <v>12.639564966833012</v>
      </c>
      <c r="AF116" s="1">
        <f t="shared" si="85"/>
        <v>14.905556849810562</v>
      </c>
      <c r="AG116" s="26">
        <f t="shared" si="86"/>
        <v>0.047463822937565014</v>
      </c>
    </row>
    <row r="117" spans="26:33" ht="12.75">
      <c r="Z117" s="9">
        <v>1989</v>
      </c>
      <c r="AA117" s="2">
        <f t="shared" si="84"/>
        <v>81.00598872588314</v>
      </c>
      <c r="AB117" s="2">
        <f t="shared" si="84"/>
        <v>3.8824759098632344</v>
      </c>
      <c r="AC117" s="1">
        <f t="shared" si="84"/>
        <v>0.657728045052509</v>
      </c>
      <c r="AD117" s="1">
        <f t="shared" si="84"/>
        <v>1.6826005808618416</v>
      </c>
      <c r="AE117" s="1">
        <f t="shared" si="84"/>
        <v>12.771206738339263</v>
      </c>
      <c r="AF117" s="1">
        <f t="shared" si="85"/>
        <v>15.111535364253623</v>
      </c>
      <c r="AG117" s="26">
        <f t="shared" si="86"/>
        <v>0.04792825778599133</v>
      </c>
    </row>
    <row r="118" spans="26:33" ht="12.75">
      <c r="Z118" s="9">
        <v>1990</v>
      </c>
      <c r="AA118" s="2">
        <f t="shared" si="84"/>
        <v>80.7068212897512</v>
      </c>
      <c r="AB118" s="2">
        <f t="shared" si="84"/>
        <v>3.90721525293732</v>
      </c>
      <c r="AC118" s="1">
        <f t="shared" si="84"/>
        <v>0.6720317010819459</v>
      </c>
      <c r="AD118" s="1">
        <f t="shared" si="84"/>
        <v>1.7460475044054502</v>
      </c>
      <c r="AE118" s="1">
        <f t="shared" si="84"/>
        <v>12.967884251824078</v>
      </c>
      <c r="AF118" s="1">
        <f t="shared" si="85"/>
        <v>15.385963457311476</v>
      </c>
      <c r="AG118" s="26">
        <f t="shared" si="86"/>
        <v>0.048412453749228375</v>
      </c>
    </row>
    <row r="119" spans="26:33" ht="12.75">
      <c r="Z119" s="9">
        <v>1991</v>
      </c>
      <c r="AA119" s="2">
        <f t="shared" si="84"/>
        <v>80.524901212062</v>
      </c>
      <c r="AB119" s="2">
        <f t="shared" si="84"/>
        <v>3.9476274711089636</v>
      </c>
      <c r="AC119" s="1">
        <f t="shared" si="84"/>
        <v>0.6687914449809016</v>
      </c>
      <c r="AD119" s="1">
        <f t="shared" si="84"/>
        <v>1.776356639674875</v>
      </c>
      <c r="AE119" s="1">
        <f t="shared" si="84"/>
        <v>13.082323232173257</v>
      </c>
      <c r="AF119" s="1">
        <f t="shared" si="85"/>
        <v>15.52747131682903</v>
      </c>
      <c r="AG119" s="26">
        <f t="shared" si="86"/>
        <v>0.0490236859864367</v>
      </c>
    </row>
    <row r="120" spans="26:33" ht="12.75">
      <c r="Z120" s="9">
        <v>1992</v>
      </c>
      <c r="AA120" s="2">
        <f t="shared" si="84"/>
        <v>80.326965790413</v>
      </c>
      <c r="AB120" s="2">
        <f t="shared" si="84"/>
        <v>3.959283178154882</v>
      </c>
      <c r="AC120" s="1">
        <f t="shared" si="84"/>
        <v>0.6691917184851424</v>
      </c>
      <c r="AD120" s="1">
        <f t="shared" si="84"/>
        <v>1.845696308809695</v>
      </c>
      <c r="AE120" s="1">
        <f t="shared" si="84"/>
        <v>13.19886300413729</v>
      </c>
      <c r="AF120" s="1">
        <f t="shared" si="85"/>
        <v>15.71375103143212</v>
      </c>
      <c r="AG120" s="26">
        <f t="shared" si="86"/>
        <v>0.049289589606625245</v>
      </c>
    </row>
    <row r="121" spans="26:33" ht="12.75">
      <c r="Z121" s="9">
        <v>1993</v>
      </c>
      <c r="AA121" s="2">
        <f aca="true" t="shared" si="87" ref="AA121:AE127">(AA100/$AG100)*100</f>
        <v>80.08146291763506</v>
      </c>
      <c r="AB121" s="2">
        <f t="shared" si="87"/>
        <v>3.9610108051820836</v>
      </c>
      <c r="AC121" s="1">
        <f t="shared" si="87"/>
        <v>0.6679240323470239</v>
      </c>
      <c r="AD121" s="1">
        <f t="shared" si="87"/>
        <v>1.9082059398733573</v>
      </c>
      <c r="AE121" s="1">
        <f t="shared" si="87"/>
        <v>13.381396304962475</v>
      </c>
      <c r="AF121" s="1">
        <f t="shared" si="85"/>
        <v>15.95752627718285</v>
      </c>
      <c r="AG121" s="26">
        <f t="shared" si="86"/>
        <v>0.04946226830616269</v>
      </c>
    </row>
    <row r="122" spans="26:33" ht="12.75">
      <c r="Z122" s="9">
        <v>1994</v>
      </c>
      <c r="AA122" s="2">
        <f t="shared" si="87"/>
        <v>79.90196802876918</v>
      </c>
      <c r="AB122" s="2">
        <f t="shared" si="87"/>
        <v>3.9452805350980182</v>
      </c>
      <c r="AC122" s="1">
        <f t="shared" si="87"/>
        <v>0.6624684242359555</v>
      </c>
      <c r="AD122" s="1">
        <f t="shared" si="87"/>
        <v>1.9622815011864005</v>
      </c>
      <c r="AE122" s="1">
        <f t="shared" si="87"/>
        <v>13.528001510710444</v>
      </c>
      <c r="AF122" s="1">
        <f t="shared" si="85"/>
        <v>16.152751436132807</v>
      </c>
      <c r="AG122" s="26">
        <f t="shared" si="86"/>
        <v>0.04937651264956949</v>
      </c>
    </row>
    <row r="123" spans="26:33" ht="12.75">
      <c r="Z123" s="9">
        <v>1995</v>
      </c>
      <c r="AA123" s="2">
        <f t="shared" si="87"/>
        <v>79.65873216087164</v>
      </c>
      <c r="AB123" s="2">
        <f t="shared" si="87"/>
        <v>3.9070523461227626</v>
      </c>
      <c r="AC123" s="1">
        <f t="shared" si="87"/>
        <v>0.6603423539637261</v>
      </c>
      <c r="AD123" s="1">
        <f t="shared" si="87"/>
        <v>2.029367632042388</v>
      </c>
      <c r="AE123" s="1">
        <f t="shared" si="87"/>
        <v>13.744505506999486</v>
      </c>
      <c r="AF123" s="1">
        <f t="shared" si="85"/>
        <v>16.434215493005603</v>
      </c>
      <c r="AG123" s="26">
        <f t="shared" si="86"/>
        <v>0.049047383006704526</v>
      </c>
    </row>
    <row r="124" spans="26:33" ht="12.75">
      <c r="Z124" s="9">
        <v>1996</v>
      </c>
      <c r="AA124" s="2">
        <f t="shared" si="87"/>
        <v>79.37939778362721</v>
      </c>
      <c r="AB124" s="2">
        <f t="shared" si="87"/>
        <v>3.887858419037767</v>
      </c>
      <c r="AC124" s="1">
        <f t="shared" si="87"/>
        <v>0.6587692343201015</v>
      </c>
      <c r="AD124" s="1">
        <f t="shared" si="87"/>
        <v>2.0776527808522847</v>
      </c>
      <c r="AE124" s="1">
        <f t="shared" si="87"/>
        <v>13.996321782162639</v>
      </c>
      <c r="AF124" s="1">
        <f t="shared" si="85"/>
        <v>16.732743797335022</v>
      </c>
      <c r="AG124" s="26">
        <f t="shared" si="86"/>
        <v>0.04897817982488747</v>
      </c>
    </row>
    <row r="125" spans="26:33" ht="12.75">
      <c r="Z125" s="9">
        <v>1997</v>
      </c>
      <c r="AA125" s="2">
        <f t="shared" si="87"/>
        <v>79.03691652106382</v>
      </c>
      <c r="AB125" s="2">
        <f t="shared" si="87"/>
        <v>3.8780425940683467</v>
      </c>
      <c r="AC125" s="1">
        <f t="shared" si="87"/>
        <v>0.6524823496971316</v>
      </c>
      <c r="AD125" s="1">
        <f t="shared" si="87"/>
        <v>2.134149240368176</v>
      </c>
      <c r="AE125" s="1">
        <f t="shared" si="87"/>
        <v>14.298409294802525</v>
      </c>
      <c r="AF125" s="1">
        <f t="shared" si="85"/>
        <v>17.085040884867837</v>
      </c>
      <c r="AG125" s="26">
        <f t="shared" si="86"/>
        <v>0.04906621822771673</v>
      </c>
    </row>
    <row r="126" spans="26:33" ht="12.75">
      <c r="Z126" s="9">
        <v>1998</v>
      </c>
      <c r="AA126" s="2">
        <f t="shared" si="87"/>
        <v>78.68241282933317</v>
      </c>
      <c r="AB126" s="2">
        <f t="shared" si="87"/>
        <v>3.89559802336477</v>
      </c>
      <c r="AC126" s="1">
        <f t="shared" si="87"/>
        <v>0.6515045350591224</v>
      </c>
      <c r="AD126" s="1">
        <f t="shared" si="87"/>
        <v>2.200169464749896</v>
      </c>
      <c r="AE126" s="1">
        <f t="shared" si="87"/>
        <v>14.570315147493037</v>
      </c>
      <c r="AF126" s="1">
        <f t="shared" si="85"/>
        <v>17.421989147302057</v>
      </c>
      <c r="AG126" s="26">
        <f t="shared" si="86"/>
        <v>0.04951040370120008</v>
      </c>
    </row>
    <row r="127" spans="26:33" ht="12.75">
      <c r="Z127" s="9">
        <v>1999</v>
      </c>
      <c r="AA127" s="2">
        <f t="shared" si="87"/>
        <v>78.33401912609868</v>
      </c>
      <c r="AB127" s="2">
        <f t="shared" si="87"/>
        <v>3.8849317810831154</v>
      </c>
      <c r="AC127" s="1">
        <f t="shared" si="87"/>
        <v>0.64938699002227</v>
      </c>
      <c r="AD127" s="1">
        <f t="shared" si="87"/>
        <v>2.2509370378140954</v>
      </c>
      <c r="AE127" s="1">
        <f t="shared" si="87"/>
        <v>14.880725064981842</v>
      </c>
      <c r="AF127" s="1">
        <f t="shared" si="85"/>
        <v>17.781049092818204</v>
      </c>
      <c r="AG127" s="26">
        <f t="shared" si="86"/>
        <v>0.04959443961159866</v>
      </c>
    </row>
  </sheetData>
  <mergeCells count="24">
    <mergeCell ref="Z2:AG2"/>
    <mergeCell ref="AJ2:AR2"/>
    <mergeCell ref="A23:H23"/>
    <mergeCell ref="A45:H45"/>
    <mergeCell ref="A2:H2"/>
    <mergeCell ref="J2:N2"/>
    <mergeCell ref="P2:W2"/>
    <mergeCell ref="A88:H88"/>
    <mergeCell ref="P23:W23"/>
    <mergeCell ref="P45:W45"/>
    <mergeCell ref="Z109:AG109"/>
    <mergeCell ref="Z88:AG88"/>
    <mergeCell ref="Z67:AG67"/>
    <mergeCell ref="Z45:AG45"/>
    <mergeCell ref="Z23:AG23"/>
    <mergeCell ref="A67:H67"/>
    <mergeCell ref="AJ88:AR88"/>
    <mergeCell ref="J23:N23"/>
    <mergeCell ref="J45:N45"/>
    <mergeCell ref="J67:N67"/>
    <mergeCell ref="J88:N88"/>
    <mergeCell ref="AJ23:AR23"/>
    <mergeCell ref="AJ45:AR45"/>
    <mergeCell ref="AJ67:AR6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4"/>
  <sheetViews>
    <sheetView zoomScale="50" zoomScaleNormal="50" workbookViewId="0" topLeftCell="A1">
      <selection activeCell="B105" sqref="B105:D121"/>
    </sheetView>
  </sheetViews>
  <sheetFormatPr defaultColWidth="9.140625" defaultRowHeight="12.75"/>
  <cols>
    <col min="1" max="1" width="11.140625" style="0" customWidth="1"/>
    <col min="2" max="2" width="10.00390625" style="0" bestFit="1" customWidth="1"/>
    <col min="3" max="3" width="11.7109375" style="0" customWidth="1"/>
    <col min="4" max="4" width="11.28125" style="0" customWidth="1"/>
    <col min="6" max="6" width="8.00390625" style="0" customWidth="1"/>
    <col min="7" max="7" width="10.28125" style="0" customWidth="1"/>
    <col min="8" max="9" width="10.8515625" style="0" customWidth="1"/>
    <col min="12" max="12" width="10.00390625" style="0" bestFit="1" customWidth="1"/>
    <col min="13" max="13" width="9.7109375" style="0" bestFit="1" customWidth="1"/>
    <col min="14" max="14" width="9.28125" style="0" customWidth="1"/>
  </cols>
  <sheetData>
    <row r="1" ht="12.75">
      <c r="A1" s="4" t="s">
        <v>38</v>
      </c>
    </row>
    <row r="2" spans="1:14" ht="28.5" customHeight="1">
      <c r="A2" s="31" t="str">
        <f>CONCATENATE("New Admissions for Violent Offenses, BW Only: ",$A$1)</f>
        <v>New Admissions for Violent Offenses, BW Only: COLORADO</v>
      </c>
      <c r="B2" s="31"/>
      <c r="C2" s="31"/>
      <c r="D2" s="31"/>
      <c r="F2" s="31" t="str">
        <f>CONCATENATE("Total Population, BW Only: ",$A$1)</f>
        <v>Total Population, BW Only: COLORADO</v>
      </c>
      <c r="G2" s="31"/>
      <c r="H2" s="31"/>
      <c r="I2" s="31"/>
      <c r="K2" s="31" t="str">
        <f>CONCATENATE("New Admissions for Violent Offenses, BW Only, Per 100,000: ",$A$1)</f>
        <v>New Admissions for Violent Offenses, BW Only, Per 100,000: COLORADO</v>
      </c>
      <c r="L2" s="31"/>
      <c r="M2" s="31"/>
      <c r="N2" s="31"/>
    </row>
    <row r="3" spans="1:14" ht="12.75">
      <c r="A3" s="24" t="s">
        <v>25</v>
      </c>
      <c r="B3" s="25" t="s">
        <v>11</v>
      </c>
      <c r="C3" s="25" t="s">
        <v>12</v>
      </c>
      <c r="D3" s="25" t="s">
        <v>13</v>
      </c>
      <c r="F3" s="24" t="s">
        <v>25</v>
      </c>
      <c r="G3" s="25" t="s">
        <v>11</v>
      </c>
      <c r="H3" s="25" t="s">
        <v>12</v>
      </c>
      <c r="I3" s="25" t="s">
        <v>13</v>
      </c>
      <c r="K3" s="24" t="s">
        <v>25</v>
      </c>
      <c r="L3" s="25" t="s">
        <v>11</v>
      </c>
      <c r="M3" s="25" t="s">
        <v>12</v>
      </c>
      <c r="N3" s="25" t="s">
        <v>13</v>
      </c>
    </row>
    <row r="4" spans="1:19" ht="12.75">
      <c r="A4" s="9">
        <v>1983</v>
      </c>
      <c r="B4">
        <v>277</v>
      </c>
      <c r="C4">
        <v>90</v>
      </c>
      <c r="D4">
        <v>367</v>
      </c>
      <c r="F4" s="9">
        <v>1983</v>
      </c>
      <c r="G4" s="2">
        <v>2581691</v>
      </c>
      <c r="H4">
        <v>114105</v>
      </c>
      <c r="I4" s="1">
        <f>G4+H4</f>
        <v>2695796</v>
      </c>
      <c r="J4" s="1"/>
      <c r="K4" s="9">
        <f>F4</f>
        <v>1983</v>
      </c>
      <c r="L4" s="1">
        <f>(B4/G4)*100000</f>
        <v>10.72940177581283</v>
      </c>
      <c r="M4" s="1">
        <f aca="true" t="shared" si="0" ref="M4:N19">(C4/H4)*100000</f>
        <v>78.87472065203102</v>
      </c>
      <c r="N4" s="1">
        <f t="shared" si="0"/>
        <v>13.613789767474987</v>
      </c>
      <c r="P4" s="6"/>
      <c r="Q4" s="6"/>
      <c r="R4" s="6"/>
      <c r="S4" s="6"/>
    </row>
    <row r="5" spans="1:19" ht="12.75">
      <c r="A5" s="9">
        <v>1984</v>
      </c>
      <c r="B5">
        <v>198</v>
      </c>
      <c r="C5">
        <v>49</v>
      </c>
      <c r="D5">
        <v>247</v>
      </c>
      <c r="F5" s="9">
        <v>1984</v>
      </c>
      <c r="G5" s="2">
        <v>2604945</v>
      </c>
      <c r="H5">
        <v>116754</v>
      </c>
      <c r="I5" s="1">
        <f aca="true" t="shared" si="1" ref="I5:I20">G5+H5</f>
        <v>2721699</v>
      </c>
      <c r="K5" s="9">
        <f aca="true" t="shared" si="2" ref="K5:K20">F5</f>
        <v>1984</v>
      </c>
      <c r="L5" s="1">
        <f aca="true" t="shared" si="3" ref="L5:L20">(B5/G5)*100000</f>
        <v>7.600928234569252</v>
      </c>
      <c r="M5" s="1">
        <f t="shared" si="0"/>
        <v>41.9685835174812</v>
      </c>
      <c r="N5" s="1">
        <f t="shared" si="0"/>
        <v>9.075213680866254</v>
      </c>
      <c r="P5" s="6"/>
      <c r="Q5" s="6"/>
      <c r="R5" s="6"/>
      <c r="S5" s="6"/>
    </row>
    <row r="6" spans="1:19" ht="12.75">
      <c r="A6" s="9">
        <v>1985</v>
      </c>
      <c r="B6">
        <v>259</v>
      </c>
      <c r="C6">
        <v>98</v>
      </c>
      <c r="D6">
        <v>357</v>
      </c>
      <c r="F6" s="9">
        <v>1985</v>
      </c>
      <c r="G6" s="2">
        <v>2629537</v>
      </c>
      <c r="H6">
        <v>120330</v>
      </c>
      <c r="I6" s="1">
        <f t="shared" si="1"/>
        <v>2749867</v>
      </c>
      <c r="K6" s="9">
        <f t="shared" si="2"/>
        <v>1985</v>
      </c>
      <c r="L6" s="1">
        <f t="shared" si="3"/>
        <v>9.849642731781298</v>
      </c>
      <c r="M6" s="1">
        <f t="shared" si="0"/>
        <v>81.44269924374636</v>
      </c>
      <c r="N6" s="1">
        <f t="shared" si="0"/>
        <v>12.982446060118543</v>
      </c>
      <c r="P6" s="6"/>
      <c r="Q6" s="6"/>
      <c r="R6" s="6"/>
      <c r="S6" s="6"/>
    </row>
    <row r="7" spans="1:19" ht="12.75">
      <c r="A7" s="9">
        <v>1986</v>
      </c>
      <c r="B7">
        <v>319</v>
      </c>
      <c r="C7">
        <v>88</v>
      </c>
      <c r="D7">
        <v>407</v>
      </c>
      <c r="F7" s="9">
        <v>1986</v>
      </c>
      <c r="G7" s="2">
        <v>2646030</v>
      </c>
      <c r="H7">
        <v>122893</v>
      </c>
      <c r="I7" s="1">
        <f t="shared" si="1"/>
        <v>2768923</v>
      </c>
      <c r="K7" s="9">
        <f t="shared" si="2"/>
        <v>1986</v>
      </c>
      <c r="L7" s="1">
        <f t="shared" si="3"/>
        <v>12.055796797466392</v>
      </c>
      <c r="M7" s="1">
        <f t="shared" si="0"/>
        <v>71.60700772216481</v>
      </c>
      <c r="N7" s="1">
        <f t="shared" si="0"/>
        <v>14.698855836727855</v>
      </c>
      <c r="P7" s="6"/>
      <c r="Q7" s="6"/>
      <c r="R7" s="6"/>
      <c r="S7" s="6"/>
    </row>
    <row r="8" spans="1:19" ht="12.75">
      <c r="A8" s="9">
        <v>1987</v>
      </c>
      <c r="B8">
        <v>316</v>
      </c>
      <c r="C8">
        <v>110</v>
      </c>
      <c r="D8">
        <v>426</v>
      </c>
      <c r="F8" s="9">
        <v>1987</v>
      </c>
      <c r="G8" s="2">
        <v>2656720</v>
      </c>
      <c r="H8">
        <v>125103</v>
      </c>
      <c r="I8" s="1">
        <f t="shared" si="1"/>
        <v>2781823</v>
      </c>
      <c r="K8" s="9">
        <f t="shared" si="2"/>
        <v>1987</v>
      </c>
      <c r="L8" s="1">
        <f t="shared" si="3"/>
        <v>11.894365985124514</v>
      </c>
      <c r="M8" s="1">
        <f t="shared" si="0"/>
        <v>87.92754770069463</v>
      </c>
      <c r="N8" s="1">
        <f t="shared" si="0"/>
        <v>15.31369896646911</v>
      </c>
      <c r="P8" s="6"/>
      <c r="Q8" s="6"/>
      <c r="R8" s="6"/>
      <c r="S8" s="6"/>
    </row>
    <row r="9" spans="1:19" ht="12.75">
      <c r="A9" s="9">
        <v>1988</v>
      </c>
      <c r="B9">
        <v>254</v>
      </c>
      <c r="C9">
        <v>107</v>
      </c>
      <c r="D9">
        <v>361</v>
      </c>
      <c r="F9" s="9">
        <v>1988</v>
      </c>
      <c r="G9" s="2">
        <v>2650229</v>
      </c>
      <c r="H9">
        <v>125790</v>
      </c>
      <c r="I9" s="1">
        <f t="shared" si="1"/>
        <v>2776019</v>
      </c>
      <c r="K9" s="9">
        <f t="shared" si="2"/>
        <v>1988</v>
      </c>
      <c r="L9" s="1">
        <f t="shared" si="3"/>
        <v>9.584077451420235</v>
      </c>
      <c r="M9" s="1">
        <f t="shared" si="0"/>
        <v>85.0624055966293</v>
      </c>
      <c r="N9" s="1">
        <f t="shared" si="0"/>
        <v>13.00423376064789</v>
      </c>
      <c r="P9" s="6"/>
      <c r="Q9" s="6"/>
      <c r="R9" s="6"/>
      <c r="S9" s="6"/>
    </row>
    <row r="10" spans="1:19" ht="12.75">
      <c r="A10" s="9">
        <v>1989</v>
      </c>
      <c r="B10">
        <v>301</v>
      </c>
      <c r="C10">
        <v>151</v>
      </c>
      <c r="D10">
        <v>452</v>
      </c>
      <c r="F10" s="9">
        <v>1989</v>
      </c>
      <c r="G10" s="2">
        <v>2653612</v>
      </c>
      <c r="H10">
        <v>127183</v>
      </c>
      <c r="I10" s="1">
        <f t="shared" si="1"/>
        <v>2780795</v>
      </c>
      <c r="K10" s="9">
        <f t="shared" si="2"/>
        <v>1989</v>
      </c>
      <c r="L10" s="1">
        <f t="shared" si="3"/>
        <v>11.343029802397638</v>
      </c>
      <c r="M10" s="1">
        <f t="shared" si="0"/>
        <v>118.72655936721102</v>
      </c>
      <c r="N10" s="1">
        <f t="shared" si="0"/>
        <v>16.25434453097046</v>
      </c>
      <c r="P10" s="6"/>
      <c r="Q10" s="6"/>
      <c r="R10" s="6"/>
      <c r="S10" s="6"/>
    </row>
    <row r="11" spans="1:19" ht="12.75">
      <c r="A11" s="9">
        <v>1990</v>
      </c>
      <c r="B11">
        <v>286</v>
      </c>
      <c r="C11">
        <v>106</v>
      </c>
      <c r="D11">
        <v>392</v>
      </c>
      <c r="F11" s="9">
        <v>1990</v>
      </c>
      <c r="G11" s="2">
        <v>2666442</v>
      </c>
      <c r="H11">
        <v>129089</v>
      </c>
      <c r="I11" s="1">
        <f t="shared" si="1"/>
        <v>2795531</v>
      </c>
      <c r="K11" s="9">
        <f t="shared" si="2"/>
        <v>1990</v>
      </c>
      <c r="L11" s="1">
        <f t="shared" si="3"/>
        <v>10.725903657383135</v>
      </c>
      <c r="M11" s="1">
        <f t="shared" si="0"/>
        <v>82.11389041668926</v>
      </c>
      <c r="N11" s="1">
        <f t="shared" si="0"/>
        <v>14.022380721229705</v>
      </c>
      <c r="P11" s="6"/>
      <c r="Q11" s="6"/>
      <c r="R11" s="6"/>
      <c r="S11" s="6"/>
    </row>
    <row r="12" spans="1:19" ht="12.75">
      <c r="A12" s="9">
        <v>1991</v>
      </c>
      <c r="B12">
        <v>291</v>
      </c>
      <c r="C12">
        <v>147</v>
      </c>
      <c r="D12">
        <v>438</v>
      </c>
      <c r="F12" s="9">
        <v>1991</v>
      </c>
      <c r="G12" s="2">
        <v>2711730</v>
      </c>
      <c r="H12">
        <v>132939</v>
      </c>
      <c r="I12" s="1">
        <f t="shared" si="1"/>
        <v>2844669</v>
      </c>
      <c r="K12" s="9">
        <f t="shared" si="2"/>
        <v>1991</v>
      </c>
      <c r="L12" s="1">
        <f t="shared" si="3"/>
        <v>10.73115686296202</v>
      </c>
      <c r="M12" s="1">
        <f t="shared" si="0"/>
        <v>110.57703157087086</v>
      </c>
      <c r="N12" s="1">
        <f t="shared" si="0"/>
        <v>15.397221961500616</v>
      </c>
      <c r="P12" s="6"/>
      <c r="Q12" s="6"/>
      <c r="R12" s="6"/>
      <c r="S12" s="6"/>
    </row>
    <row r="13" spans="1:19" ht="12.75">
      <c r="A13" s="9">
        <v>1992</v>
      </c>
      <c r="B13">
        <v>258</v>
      </c>
      <c r="C13">
        <v>133</v>
      </c>
      <c r="D13">
        <v>391</v>
      </c>
      <c r="F13" s="9">
        <v>1992</v>
      </c>
      <c r="G13" s="2">
        <v>2779309</v>
      </c>
      <c r="H13">
        <v>136991</v>
      </c>
      <c r="I13" s="1">
        <f t="shared" si="1"/>
        <v>2916300</v>
      </c>
      <c r="K13" s="9">
        <f t="shared" si="2"/>
        <v>1992</v>
      </c>
      <c r="L13" s="1">
        <f t="shared" si="3"/>
        <v>9.282882903628204</v>
      </c>
      <c r="M13" s="1">
        <f t="shared" si="0"/>
        <v>97.0866699272215</v>
      </c>
      <c r="N13" s="1">
        <f t="shared" si="0"/>
        <v>13.407399787401845</v>
      </c>
      <c r="P13" s="6"/>
      <c r="Q13" s="6"/>
      <c r="R13" s="6"/>
      <c r="S13" s="6"/>
    </row>
    <row r="14" spans="1:19" ht="12.75">
      <c r="A14" s="9">
        <v>1993</v>
      </c>
      <c r="B14">
        <v>302</v>
      </c>
      <c r="C14">
        <v>134</v>
      </c>
      <c r="D14">
        <v>436</v>
      </c>
      <c r="F14" s="9">
        <v>1993</v>
      </c>
      <c r="G14" s="2">
        <v>2851608</v>
      </c>
      <c r="H14" s="2">
        <v>141047</v>
      </c>
      <c r="I14" s="1">
        <f t="shared" si="1"/>
        <v>2992655</v>
      </c>
      <c r="K14" s="9">
        <f t="shared" si="2"/>
        <v>1993</v>
      </c>
      <c r="L14" s="1">
        <f t="shared" si="3"/>
        <v>10.590515947493484</v>
      </c>
      <c r="M14" s="1">
        <f t="shared" si="0"/>
        <v>95.00379306188717</v>
      </c>
      <c r="N14" s="1">
        <f t="shared" si="0"/>
        <v>14.569003109279219</v>
      </c>
      <c r="P14" s="6"/>
      <c r="Q14" s="6"/>
      <c r="R14" s="6"/>
      <c r="S14" s="6"/>
    </row>
    <row r="15" spans="1:19" ht="12.75">
      <c r="A15" s="9">
        <v>1994</v>
      </c>
      <c r="B15">
        <v>285</v>
      </c>
      <c r="C15">
        <v>147</v>
      </c>
      <c r="D15">
        <v>432</v>
      </c>
      <c r="F15" s="9">
        <v>1994</v>
      </c>
      <c r="G15" s="2">
        <v>2919546</v>
      </c>
      <c r="H15" s="2">
        <v>144157</v>
      </c>
      <c r="I15" s="1">
        <f t="shared" si="1"/>
        <v>3063703</v>
      </c>
      <c r="K15" s="9">
        <f t="shared" si="2"/>
        <v>1994</v>
      </c>
      <c r="L15" s="1">
        <f t="shared" si="3"/>
        <v>9.761791730632092</v>
      </c>
      <c r="M15" s="1">
        <f t="shared" si="0"/>
        <v>101.97215535839396</v>
      </c>
      <c r="N15" s="1">
        <f t="shared" si="0"/>
        <v>14.100583509563428</v>
      </c>
      <c r="P15" s="6"/>
      <c r="Q15" s="6"/>
      <c r="R15" s="6"/>
      <c r="S15" s="6"/>
    </row>
    <row r="16" spans="1:19" ht="12.75">
      <c r="A16" s="9">
        <v>1995</v>
      </c>
      <c r="B16">
        <v>324</v>
      </c>
      <c r="C16">
        <v>180</v>
      </c>
      <c r="D16">
        <v>504</v>
      </c>
      <c r="F16" s="9">
        <v>1995</v>
      </c>
      <c r="G16" s="2">
        <v>2977692</v>
      </c>
      <c r="H16" s="2">
        <v>146048</v>
      </c>
      <c r="I16" s="1">
        <f t="shared" si="1"/>
        <v>3123740</v>
      </c>
      <c r="K16" s="9">
        <f t="shared" si="2"/>
        <v>1995</v>
      </c>
      <c r="L16" s="1">
        <f t="shared" si="3"/>
        <v>10.880910450106995</v>
      </c>
      <c r="M16" s="1">
        <f t="shared" si="0"/>
        <v>123.24715162138475</v>
      </c>
      <c r="N16" s="1">
        <f t="shared" si="0"/>
        <v>16.13450543259042</v>
      </c>
      <c r="P16" s="6"/>
      <c r="Q16" s="6"/>
      <c r="R16" s="6"/>
      <c r="S16" s="6"/>
    </row>
    <row r="17" spans="1:19" ht="12.75">
      <c r="A17" s="9">
        <v>1996</v>
      </c>
      <c r="B17">
        <v>388</v>
      </c>
      <c r="C17">
        <v>185</v>
      </c>
      <c r="D17">
        <v>573</v>
      </c>
      <c r="F17" s="9">
        <v>1996</v>
      </c>
      <c r="G17" s="2">
        <v>3026511</v>
      </c>
      <c r="H17" s="2">
        <v>148233</v>
      </c>
      <c r="I17" s="1">
        <f t="shared" si="1"/>
        <v>3174744</v>
      </c>
      <c r="K17" s="9">
        <f t="shared" si="2"/>
        <v>1996</v>
      </c>
      <c r="L17" s="1">
        <f t="shared" si="3"/>
        <v>12.820042616729296</v>
      </c>
      <c r="M17" s="1">
        <f t="shared" si="0"/>
        <v>124.80351878461612</v>
      </c>
      <c r="N17" s="1">
        <f t="shared" si="0"/>
        <v>18.048699359696403</v>
      </c>
      <c r="P17" s="6"/>
      <c r="Q17" s="6"/>
      <c r="R17" s="6"/>
      <c r="S17" s="6"/>
    </row>
    <row r="18" spans="1:19" ht="12.75">
      <c r="A18" s="9">
        <v>1997</v>
      </c>
      <c r="B18">
        <v>404</v>
      </c>
      <c r="C18">
        <v>132</v>
      </c>
      <c r="D18">
        <v>536</v>
      </c>
      <c r="F18" s="9">
        <v>1997</v>
      </c>
      <c r="G18" s="2">
        <v>3075558</v>
      </c>
      <c r="H18" s="2">
        <v>150906</v>
      </c>
      <c r="I18" s="1">
        <f t="shared" si="1"/>
        <v>3226464</v>
      </c>
      <c r="K18" s="9">
        <f t="shared" si="2"/>
        <v>1997</v>
      </c>
      <c r="L18" s="1">
        <f t="shared" si="3"/>
        <v>13.135827709963523</v>
      </c>
      <c r="M18" s="1">
        <f t="shared" si="0"/>
        <v>87.47167110651664</v>
      </c>
      <c r="N18" s="1">
        <f t="shared" si="0"/>
        <v>16.612613684826485</v>
      </c>
      <c r="P18" s="6"/>
      <c r="Q18" s="6"/>
      <c r="R18" s="6"/>
      <c r="S18" s="6"/>
    </row>
    <row r="19" spans="1:19" ht="12.75">
      <c r="A19" s="9">
        <v>1998</v>
      </c>
      <c r="B19">
        <v>447</v>
      </c>
      <c r="C19">
        <v>148</v>
      </c>
      <c r="D19">
        <v>595</v>
      </c>
      <c r="F19" s="9">
        <v>1998</v>
      </c>
      <c r="G19" s="2">
        <v>3122879</v>
      </c>
      <c r="H19" s="2">
        <v>154615</v>
      </c>
      <c r="I19" s="1">
        <f t="shared" si="1"/>
        <v>3277494</v>
      </c>
      <c r="K19" s="9">
        <f t="shared" si="2"/>
        <v>1998</v>
      </c>
      <c r="L19" s="1">
        <f t="shared" si="3"/>
        <v>14.313715004647955</v>
      </c>
      <c r="M19" s="1">
        <f t="shared" si="0"/>
        <v>95.72163114833619</v>
      </c>
      <c r="N19" s="1">
        <f t="shared" si="0"/>
        <v>18.15411408838582</v>
      </c>
      <c r="P19" s="6"/>
      <c r="Q19" s="6"/>
      <c r="R19" s="6"/>
      <c r="S19" s="6"/>
    </row>
    <row r="20" spans="1:14" ht="12.75">
      <c r="A20" s="9">
        <v>1999</v>
      </c>
      <c r="B20">
        <v>381</v>
      </c>
      <c r="C20">
        <v>129</v>
      </c>
      <c r="D20">
        <v>510</v>
      </c>
      <c r="F20" s="9">
        <v>1999</v>
      </c>
      <c r="G20" s="2">
        <v>3177332</v>
      </c>
      <c r="H20" s="2">
        <v>157578</v>
      </c>
      <c r="I20" s="1">
        <f t="shared" si="1"/>
        <v>3334910</v>
      </c>
      <c r="K20" s="9">
        <f t="shared" si="2"/>
        <v>1999</v>
      </c>
      <c r="L20" s="1">
        <f t="shared" si="3"/>
        <v>11.991192610655732</v>
      </c>
      <c r="M20" s="1">
        <f>(C20/H20)*100000</f>
        <v>81.86421962456687</v>
      </c>
      <c r="N20" s="1">
        <f>(D20/I20)*100000</f>
        <v>15.292766521435363</v>
      </c>
    </row>
    <row r="21" spans="7:8" ht="12.75">
      <c r="G21" s="4"/>
      <c r="H21" s="4"/>
    </row>
    <row r="22" spans="1:14" ht="30" customHeight="1">
      <c r="A22" s="31" t="str">
        <f>CONCATENATE("New Admissions for Robbery / Burglary Offenses, BW Only: ",$A$1)</f>
        <v>New Admissions for Robbery / Burglary Offenses, BW Only: COLORADO</v>
      </c>
      <c r="B22" s="31"/>
      <c r="C22" s="31"/>
      <c r="D22" s="31"/>
      <c r="F22" s="31" t="str">
        <f>CONCATENATE("Total Population, BW Only: ",$A$1)</f>
        <v>Total Population, BW Only: COLORADO</v>
      </c>
      <c r="G22" s="31"/>
      <c r="H22" s="31"/>
      <c r="I22" s="31"/>
      <c r="K22" s="31" t="str">
        <f>CONCATENATE("New Admissions for Robbery / Burglary, BW Only, Per 100,000: ",$A$1)</f>
        <v>New Admissions for Robbery / Burglary, BW Only, Per 100,000: COLORADO</v>
      </c>
      <c r="L22" s="31"/>
      <c r="M22" s="31"/>
      <c r="N22" s="31"/>
    </row>
    <row r="23" spans="1:14" ht="12.75">
      <c r="A23" s="24" t="s">
        <v>25</v>
      </c>
      <c r="B23" s="25" t="s">
        <v>11</v>
      </c>
      <c r="C23" s="25" t="s">
        <v>12</v>
      </c>
      <c r="D23" s="25" t="s">
        <v>13</v>
      </c>
      <c r="F23" s="24" t="s">
        <v>25</v>
      </c>
      <c r="G23" s="25" t="s">
        <v>11</v>
      </c>
      <c r="H23" s="25" t="s">
        <v>12</v>
      </c>
      <c r="I23" s="25" t="s">
        <v>13</v>
      </c>
      <c r="K23" s="24" t="s">
        <v>25</v>
      </c>
      <c r="L23" s="25" t="s">
        <v>11</v>
      </c>
      <c r="M23" s="25" t="s">
        <v>12</v>
      </c>
      <c r="N23" s="25" t="s">
        <v>13</v>
      </c>
    </row>
    <row r="24" spans="1:14" ht="12.75">
      <c r="A24" s="9">
        <v>1983</v>
      </c>
      <c r="B24">
        <v>286</v>
      </c>
      <c r="C24">
        <v>77</v>
      </c>
      <c r="D24">
        <v>363</v>
      </c>
      <c r="F24" s="9">
        <f>F4</f>
        <v>1983</v>
      </c>
      <c r="G24" s="1">
        <f>G4</f>
        <v>2581691</v>
      </c>
      <c r="H24" s="1">
        <f>H4</f>
        <v>114105</v>
      </c>
      <c r="I24" s="1">
        <f>I4</f>
        <v>2695796</v>
      </c>
      <c r="K24" s="9">
        <f>F24</f>
        <v>1983</v>
      </c>
      <c r="L24" s="1">
        <f>(B24/G24)*100000</f>
        <v>11.078010497770647</v>
      </c>
      <c r="M24" s="1">
        <f aca="true" t="shared" si="4" ref="M24:M40">(C24/H24)*100000</f>
        <v>67.48170544673765</v>
      </c>
      <c r="N24" s="1">
        <f aca="true" t="shared" si="5" ref="N24:N40">(D24/I24)*100000</f>
        <v>13.46541058744801</v>
      </c>
    </row>
    <row r="25" spans="1:14" ht="12.75">
      <c r="A25" s="9">
        <v>1984</v>
      </c>
      <c r="B25">
        <v>229</v>
      </c>
      <c r="C25">
        <v>75</v>
      </c>
      <c r="D25">
        <v>304</v>
      </c>
      <c r="F25" s="9">
        <f aca="true" t="shared" si="6" ref="F25:F40">F5</f>
        <v>1984</v>
      </c>
      <c r="G25" s="1">
        <f aca="true" t="shared" si="7" ref="G25:I40">G5</f>
        <v>2604945</v>
      </c>
      <c r="H25" s="1">
        <f t="shared" si="7"/>
        <v>116754</v>
      </c>
      <c r="I25" s="1">
        <f t="shared" si="7"/>
        <v>2721699</v>
      </c>
      <c r="K25" s="9">
        <f aca="true" t="shared" si="8" ref="K25:K40">F25</f>
        <v>1984</v>
      </c>
      <c r="L25" s="1">
        <f aca="true" t="shared" si="9" ref="L25:L40">(B25/G25)*100000</f>
        <v>8.790972554123023</v>
      </c>
      <c r="M25" s="1">
        <f t="shared" si="4"/>
        <v>64.23762783287938</v>
      </c>
      <c r="N25" s="1">
        <f t="shared" si="5"/>
        <v>11.169493761066157</v>
      </c>
    </row>
    <row r="26" spans="1:14" ht="12.75">
      <c r="A26" s="9">
        <v>1985</v>
      </c>
      <c r="B26">
        <v>253</v>
      </c>
      <c r="C26">
        <v>77</v>
      </c>
      <c r="D26">
        <v>330</v>
      </c>
      <c r="F26" s="9">
        <f t="shared" si="6"/>
        <v>1985</v>
      </c>
      <c r="G26" s="1">
        <f t="shared" si="7"/>
        <v>2629537</v>
      </c>
      <c r="H26" s="1">
        <f t="shared" si="7"/>
        <v>120330</v>
      </c>
      <c r="I26" s="1">
        <f t="shared" si="7"/>
        <v>2749867</v>
      </c>
      <c r="K26" s="9">
        <f t="shared" si="8"/>
        <v>1985</v>
      </c>
      <c r="L26" s="1">
        <f t="shared" si="9"/>
        <v>9.621465680079801</v>
      </c>
      <c r="M26" s="1">
        <f t="shared" si="4"/>
        <v>63.990692262943575</v>
      </c>
      <c r="N26" s="1">
        <f t="shared" si="5"/>
        <v>12.000580391706217</v>
      </c>
    </row>
    <row r="27" spans="1:14" ht="12.75">
      <c r="A27" s="9">
        <v>1986</v>
      </c>
      <c r="B27">
        <v>250</v>
      </c>
      <c r="C27">
        <v>116</v>
      </c>
      <c r="D27">
        <v>366</v>
      </c>
      <c r="F27" s="9">
        <f t="shared" si="6"/>
        <v>1986</v>
      </c>
      <c r="G27" s="1">
        <f t="shared" si="7"/>
        <v>2646030</v>
      </c>
      <c r="H27" s="1">
        <f t="shared" si="7"/>
        <v>122893</v>
      </c>
      <c r="I27" s="1">
        <f t="shared" si="7"/>
        <v>2768923</v>
      </c>
      <c r="K27" s="9">
        <f t="shared" si="8"/>
        <v>1986</v>
      </c>
      <c r="L27" s="1">
        <f t="shared" si="9"/>
        <v>9.448116612434477</v>
      </c>
      <c r="M27" s="1">
        <f t="shared" si="4"/>
        <v>94.3910556337627</v>
      </c>
      <c r="N27" s="1">
        <f t="shared" si="5"/>
        <v>13.218135715583278</v>
      </c>
    </row>
    <row r="28" spans="1:14" ht="12.75">
      <c r="A28" s="9">
        <v>1987</v>
      </c>
      <c r="B28">
        <v>290</v>
      </c>
      <c r="C28">
        <v>144</v>
      </c>
      <c r="D28">
        <v>434</v>
      </c>
      <c r="F28" s="9">
        <f t="shared" si="6"/>
        <v>1987</v>
      </c>
      <c r="G28" s="1">
        <f t="shared" si="7"/>
        <v>2656720</v>
      </c>
      <c r="H28" s="1">
        <f t="shared" si="7"/>
        <v>125103</v>
      </c>
      <c r="I28" s="1">
        <f t="shared" si="7"/>
        <v>2781823</v>
      </c>
      <c r="K28" s="9">
        <f t="shared" si="8"/>
        <v>1987</v>
      </c>
      <c r="L28" s="1">
        <f t="shared" si="9"/>
        <v>10.915715619259839</v>
      </c>
      <c r="M28" s="1">
        <f t="shared" si="4"/>
        <v>115.10515335363661</v>
      </c>
      <c r="N28" s="1">
        <f t="shared" si="5"/>
        <v>15.601280167717356</v>
      </c>
    </row>
    <row r="29" spans="1:14" ht="12.75">
      <c r="A29" s="9">
        <v>1988</v>
      </c>
      <c r="B29">
        <v>235</v>
      </c>
      <c r="C29">
        <v>112</v>
      </c>
      <c r="D29">
        <v>347</v>
      </c>
      <c r="F29" s="9">
        <f t="shared" si="6"/>
        <v>1988</v>
      </c>
      <c r="G29" s="1">
        <f t="shared" si="7"/>
        <v>2650229</v>
      </c>
      <c r="H29" s="1">
        <f t="shared" si="7"/>
        <v>125790</v>
      </c>
      <c r="I29" s="1">
        <f t="shared" si="7"/>
        <v>2776019</v>
      </c>
      <c r="K29" s="9">
        <f t="shared" si="8"/>
        <v>1988</v>
      </c>
      <c r="L29" s="1">
        <f t="shared" si="9"/>
        <v>8.867158271983289</v>
      </c>
      <c r="M29" s="1">
        <f t="shared" si="4"/>
        <v>89.03728436282692</v>
      </c>
      <c r="N29" s="1">
        <f t="shared" si="5"/>
        <v>12.499914445830521</v>
      </c>
    </row>
    <row r="30" spans="1:14" ht="12.75">
      <c r="A30" s="9">
        <v>1989</v>
      </c>
      <c r="B30">
        <v>288</v>
      </c>
      <c r="C30">
        <v>153</v>
      </c>
      <c r="D30">
        <v>441</v>
      </c>
      <c r="F30" s="9">
        <f t="shared" si="6"/>
        <v>1989</v>
      </c>
      <c r="G30" s="1">
        <f t="shared" si="7"/>
        <v>2653612</v>
      </c>
      <c r="H30" s="1">
        <f t="shared" si="7"/>
        <v>127183</v>
      </c>
      <c r="I30" s="1">
        <f t="shared" si="7"/>
        <v>2780795</v>
      </c>
      <c r="K30" s="9">
        <f t="shared" si="8"/>
        <v>1989</v>
      </c>
      <c r="L30" s="1">
        <f t="shared" si="9"/>
        <v>10.853131505284118</v>
      </c>
      <c r="M30" s="1">
        <f t="shared" si="4"/>
        <v>120.29909657737277</v>
      </c>
      <c r="N30" s="1">
        <f t="shared" si="5"/>
        <v>15.858774199464541</v>
      </c>
    </row>
    <row r="31" spans="1:14" ht="12.75">
      <c r="A31" s="9">
        <v>1990</v>
      </c>
      <c r="B31">
        <v>216</v>
      </c>
      <c r="C31">
        <v>96</v>
      </c>
      <c r="D31">
        <v>312</v>
      </c>
      <c r="F31" s="9">
        <f t="shared" si="6"/>
        <v>1990</v>
      </c>
      <c r="G31" s="1">
        <f t="shared" si="7"/>
        <v>2666442</v>
      </c>
      <c r="H31" s="1">
        <f t="shared" si="7"/>
        <v>129089</v>
      </c>
      <c r="I31" s="1">
        <f t="shared" si="7"/>
        <v>2795531</v>
      </c>
      <c r="K31" s="9">
        <f t="shared" si="8"/>
        <v>1990</v>
      </c>
      <c r="L31" s="1">
        <f t="shared" si="9"/>
        <v>8.10068248249915</v>
      </c>
      <c r="M31" s="1">
        <f t="shared" si="4"/>
        <v>74.36729698115253</v>
      </c>
      <c r="N31" s="1">
        <f t="shared" si="5"/>
        <v>11.160670369958337</v>
      </c>
    </row>
    <row r="32" spans="1:14" ht="12.75">
      <c r="A32" s="9">
        <v>1991</v>
      </c>
      <c r="B32">
        <v>188</v>
      </c>
      <c r="C32">
        <v>101</v>
      </c>
      <c r="D32">
        <v>289</v>
      </c>
      <c r="F32" s="9">
        <f t="shared" si="6"/>
        <v>1991</v>
      </c>
      <c r="G32" s="1">
        <f t="shared" si="7"/>
        <v>2711730</v>
      </c>
      <c r="H32" s="1">
        <f t="shared" si="7"/>
        <v>132939</v>
      </c>
      <c r="I32" s="1">
        <f t="shared" si="7"/>
        <v>2844669</v>
      </c>
      <c r="K32" s="9">
        <f t="shared" si="8"/>
        <v>1991</v>
      </c>
      <c r="L32" s="1">
        <f t="shared" si="9"/>
        <v>6.932843609061375</v>
      </c>
      <c r="M32" s="1">
        <f t="shared" si="4"/>
        <v>75.97469516093848</v>
      </c>
      <c r="N32" s="1">
        <f t="shared" si="5"/>
        <v>10.159354216606571</v>
      </c>
    </row>
    <row r="33" spans="1:14" ht="12.75">
      <c r="A33" s="9">
        <v>1992</v>
      </c>
      <c r="B33">
        <v>226</v>
      </c>
      <c r="C33">
        <v>80</v>
      </c>
      <c r="D33">
        <v>306</v>
      </c>
      <c r="F33" s="9">
        <f t="shared" si="6"/>
        <v>1992</v>
      </c>
      <c r="G33" s="1">
        <f t="shared" si="7"/>
        <v>2779309</v>
      </c>
      <c r="H33" s="1">
        <f t="shared" si="7"/>
        <v>136991</v>
      </c>
      <c r="I33" s="1">
        <f t="shared" si="7"/>
        <v>2916300</v>
      </c>
      <c r="K33" s="9">
        <f t="shared" si="8"/>
        <v>1992</v>
      </c>
      <c r="L33" s="1">
        <f t="shared" si="9"/>
        <v>8.13151758224796</v>
      </c>
      <c r="M33" s="1">
        <f t="shared" si="4"/>
        <v>58.39799694870466</v>
      </c>
      <c r="N33" s="1">
        <f t="shared" si="5"/>
        <v>10.492747659705792</v>
      </c>
    </row>
    <row r="34" spans="1:14" ht="12.75">
      <c r="A34" s="9">
        <v>1993</v>
      </c>
      <c r="B34">
        <v>198</v>
      </c>
      <c r="C34">
        <v>85</v>
      </c>
      <c r="D34">
        <v>283</v>
      </c>
      <c r="F34" s="9">
        <f t="shared" si="6"/>
        <v>1993</v>
      </c>
      <c r="G34" s="1">
        <f t="shared" si="7"/>
        <v>2851608</v>
      </c>
      <c r="H34" s="1">
        <f t="shared" si="7"/>
        <v>141047</v>
      </c>
      <c r="I34" s="1">
        <f t="shared" si="7"/>
        <v>2992655</v>
      </c>
      <c r="K34" s="9">
        <f t="shared" si="8"/>
        <v>1993</v>
      </c>
      <c r="L34" s="1">
        <f t="shared" si="9"/>
        <v>6.943450852992417</v>
      </c>
      <c r="M34" s="1">
        <f t="shared" si="4"/>
        <v>60.26360007657022</v>
      </c>
      <c r="N34" s="1">
        <f t="shared" si="5"/>
        <v>9.45648596313307</v>
      </c>
    </row>
    <row r="35" spans="1:14" ht="12.75">
      <c r="A35" s="9">
        <v>1994</v>
      </c>
      <c r="B35">
        <v>172</v>
      </c>
      <c r="C35">
        <v>106</v>
      </c>
      <c r="D35">
        <v>278</v>
      </c>
      <c r="F35" s="9">
        <f t="shared" si="6"/>
        <v>1994</v>
      </c>
      <c r="G35" s="1">
        <f t="shared" si="7"/>
        <v>2919546</v>
      </c>
      <c r="H35" s="1">
        <f t="shared" si="7"/>
        <v>144157</v>
      </c>
      <c r="I35" s="1">
        <f t="shared" si="7"/>
        <v>3063703</v>
      </c>
      <c r="K35" s="9">
        <f t="shared" si="8"/>
        <v>1994</v>
      </c>
      <c r="L35" s="1">
        <f t="shared" si="9"/>
        <v>5.89132693918849</v>
      </c>
      <c r="M35" s="1">
        <f t="shared" si="4"/>
        <v>73.53094195911402</v>
      </c>
      <c r="N35" s="1">
        <f t="shared" si="5"/>
        <v>9.073986610320908</v>
      </c>
    </row>
    <row r="36" spans="1:14" ht="12.75">
      <c r="A36" s="9">
        <v>1995</v>
      </c>
      <c r="B36">
        <v>194</v>
      </c>
      <c r="C36">
        <v>112</v>
      </c>
      <c r="D36">
        <v>306</v>
      </c>
      <c r="F36" s="9">
        <f t="shared" si="6"/>
        <v>1995</v>
      </c>
      <c r="G36" s="1">
        <f t="shared" si="7"/>
        <v>2977692</v>
      </c>
      <c r="H36" s="1">
        <f t="shared" si="7"/>
        <v>146048</v>
      </c>
      <c r="I36" s="1">
        <f t="shared" si="7"/>
        <v>3123740</v>
      </c>
      <c r="K36" s="9">
        <f t="shared" si="8"/>
        <v>1995</v>
      </c>
      <c r="L36" s="1">
        <f t="shared" si="9"/>
        <v>6.515113047286287</v>
      </c>
      <c r="M36" s="1">
        <f t="shared" si="4"/>
        <v>76.68711656441718</v>
      </c>
      <c r="N36" s="1">
        <f t="shared" si="5"/>
        <v>9.795949726929898</v>
      </c>
    </row>
    <row r="37" spans="1:14" ht="12.75">
      <c r="A37" s="9">
        <v>1996</v>
      </c>
      <c r="B37">
        <v>255</v>
      </c>
      <c r="C37">
        <v>114</v>
      </c>
      <c r="D37">
        <v>369</v>
      </c>
      <c r="F37" s="9">
        <f t="shared" si="6"/>
        <v>1996</v>
      </c>
      <c r="G37" s="1">
        <f t="shared" si="7"/>
        <v>3026511</v>
      </c>
      <c r="H37" s="1">
        <f t="shared" si="7"/>
        <v>148233</v>
      </c>
      <c r="I37" s="1">
        <f t="shared" si="7"/>
        <v>3174744</v>
      </c>
      <c r="K37" s="9">
        <f t="shared" si="8"/>
        <v>1996</v>
      </c>
      <c r="L37" s="1">
        <f t="shared" si="9"/>
        <v>8.425543472334976</v>
      </c>
      <c r="M37" s="1">
        <f t="shared" si="4"/>
        <v>76.9059521159256</v>
      </c>
      <c r="N37" s="1">
        <f t="shared" si="5"/>
        <v>11.62298440441182</v>
      </c>
    </row>
    <row r="38" spans="1:14" ht="12.75">
      <c r="A38" s="9">
        <v>1997</v>
      </c>
      <c r="B38">
        <v>232</v>
      </c>
      <c r="C38">
        <v>111</v>
      </c>
      <c r="D38">
        <v>343</v>
      </c>
      <c r="F38" s="9">
        <f t="shared" si="6"/>
        <v>1997</v>
      </c>
      <c r="G38" s="1">
        <f t="shared" si="7"/>
        <v>3075558</v>
      </c>
      <c r="H38" s="1">
        <f t="shared" si="7"/>
        <v>150906</v>
      </c>
      <c r="I38" s="1">
        <f t="shared" si="7"/>
        <v>3226464</v>
      </c>
      <c r="K38" s="9">
        <f t="shared" si="8"/>
        <v>1997</v>
      </c>
      <c r="L38" s="1">
        <f t="shared" si="9"/>
        <v>7.543346605721628</v>
      </c>
      <c r="M38" s="1">
        <f t="shared" si="4"/>
        <v>73.5557234304799</v>
      </c>
      <c r="N38" s="1">
        <f t="shared" si="5"/>
        <v>10.630833010999039</v>
      </c>
    </row>
    <row r="39" spans="1:14" ht="12.75">
      <c r="A39" s="9">
        <v>1998</v>
      </c>
      <c r="B39">
        <v>289</v>
      </c>
      <c r="C39">
        <v>98</v>
      </c>
      <c r="D39">
        <v>387</v>
      </c>
      <c r="F39" s="9">
        <f t="shared" si="6"/>
        <v>1998</v>
      </c>
      <c r="G39" s="1">
        <f t="shared" si="7"/>
        <v>3122879</v>
      </c>
      <c r="H39" s="1">
        <f t="shared" si="7"/>
        <v>154615</v>
      </c>
      <c r="I39" s="1">
        <f t="shared" si="7"/>
        <v>3277494</v>
      </c>
      <c r="K39" s="9">
        <f t="shared" si="8"/>
        <v>1998</v>
      </c>
      <c r="L39" s="1">
        <f t="shared" si="9"/>
        <v>9.254281065644875</v>
      </c>
      <c r="M39" s="1">
        <f t="shared" si="4"/>
        <v>63.38324224687126</v>
      </c>
      <c r="N39" s="1">
        <f t="shared" si="5"/>
        <v>11.807801936479517</v>
      </c>
    </row>
    <row r="40" spans="1:14" ht="12.75">
      <c r="A40" s="9">
        <v>1999</v>
      </c>
      <c r="B40">
        <v>249</v>
      </c>
      <c r="C40">
        <v>87</v>
      </c>
      <c r="D40">
        <v>336</v>
      </c>
      <c r="F40" s="9">
        <f t="shared" si="6"/>
        <v>1999</v>
      </c>
      <c r="G40" s="1">
        <f t="shared" si="7"/>
        <v>3177332</v>
      </c>
      <c r="H40" s="1">
        <f t="shared" si="7"/>
        <v>157578</v>
      </c>
      <c r="I40" s="1">
        <f t="shared" si="7"/>
        <v>3334910</v>
      </c>
      <c r="K40" s="9">
        <f t="shared" si="8"/>
        <v>1999</v>
      </c>
      <c r="L40" s="1">
        <f t="shared" si="9"/>
        <v>7.836763674680517</v>
      </c>
      <c r="M40" s="1">
        <f t="shared" si="4"/>
        <v>55.21075277005673</v>
      </c>
      <c r="N40" s="1">
        <f t="shared" si="5"/>
        <v>10.07523441412212</v>
      </c>
    </row>
    <row r="42" spans="1:14" ht="29.25" customHeight="1">
      <c r="A42" s="31" t="str">
        <f>CONCATENATE("New Admissions for Larceny / Theft Offenses, BW Only: ",$A$1)</f>
        <v>New Admissions for Larceny / Theft Offenses, BW Only: COLORADO</v>
      </c>
      <c r="B42" s="31"/>
      <c r="C42" s="31"/>
      <c r="D42" s="31"/>
      <c r="F42" s="31" t="str">
        <f>CONCATENATE("Total Population, BW Only: ",$A$1)</f>
        <v>Total Population, BW Only: COLORADO</v>
      </c>
      <c r="G42" s="31"/>
      <c r="H42" s="31"/>
      <c r="I42" s="31"/>
      <c r="K42" s="31" t="str">
        <f>CONCATENATE("New Admissions for Larceny / Theft, BW Only, Per 100,000: ",$A$1)</f>
        <v>New Admissions for Larceny / Theft, BW Only, Per 100,000: COLORADO</v>
      </c>
      <c r="L42" s="31"/>
      <c r="M42" s="31"/>
      <c r="N42" s="31"/>
    </row>
    <row r="43" spans="1:14" ht="12.75">
      <c r="A43" s="24" t="s">
        <v>25</v>
      </c>
      <c r="B43" s="25" t="s">
        <v>11</v>
      </c>
      <c r="C43" s="25" t="s">
        <v>12</v>
      </c>
      <c r="D43" s="25" t="s">
        <v>13</v>
      </c>
      <c r="F43" s="24" t="s">
        <v>25</v>
      </c>
      <c r="G43" s="25" t="s">
        <v>11</v>
      </c>
      <c r="H43" s="25" t="s">
        <v>12</v>
      </c>
      <c r="I43" s="25" t="s">
        <v>13</v>
      </c>
      <c r="K43" s="24" t="s">
        <v>25</v>
      </c>
      <c r="L43" s="25" t="s">
        <v>11</v>
      </c>
      <c r="M43" s="25" t="s">
        <v>12</v>
      </c>
      <c r="N43" s="25" t="s">
        <v>13</v>
      </c>
    </row>
    <row r="44" spans="1:14" ht="12.75">
      <c r="A44" s="9">
        <v>1983</v>
      </c>
      <c r="B44">
        <v>155</v>
      </c>
      <c r="C44">
        <v>52</v>
      </c>
      <c r="D44">
        <v>207</v>
      </c>
      <c r="F44" s="9">
        <f>F4</f>
        <v>1983</v>
      </c>
      <c r="G44" s="1">
        <f>G4</f>
        <v>2581691</v>
      </c>
      <c r="H44" s="1">
        <f>H4</f>
        <v>114105</v>
      </c>
      <c r="I44" s="1">
        <f>I4</f>
        <v>2695796</v>
      </c>
      <c r="K44" s="9">
        <f>F44</f>
        <v>1983</v>
      </c>
      <c r="L44" s="1">
        <f>(B44/G44)*100000</f>
        <v>6.0038168781624135</v>
      </c>
      <c r="M44" s="1">
        <f aca="true" t="shared" si="10" ref="M44:M60">(C44/H44)*100000</f>
        <v>45.57206082117348</v>
      </c>
      <c r="N44" s="1">
        <f aca="true" t="shared" si="11" ref="N44:N60">(D44/I44)*100000</f>
        <v>7.6786225663959735</v>
      </c>
    </row>
    <row r="45" spans="1:14" ht="12.75">
      <c r="A45" s="9">
        <v>1984</v>
      </c>
      <c r="B45">
        <v>173</v>
      </c>
      <c r="C45">
        <v>41</v>
      </c>
      <c r="D45">
        <v>214</v>
      </c>
      <c r="F45" s="9">
        <f aca="true" t="shared" si="12" ref="F45:F60">F5</f>
        <v>1984</v>
      </c>
      <c r="G45" s="1">
        <f aca="true" t="shared" si="13" ref="G45:I60">G5</f>
        <v>2604945</v>
      </c>
      <c r="H45" s="1">
        <f t="shared" si="13"/>
        <v>116754</v>
      </c>
      <c r="I45" s="1">
        <f t="shared" si="13"/>
        <v>2721699</v>
      </c>
      <c r="K45" s="9">
        <f aca="true" t="shared" si="14" ref="K45:K60">F45</f>
        <v>1984</v>
      </c>
      <c r="L45" s="1">
        <f aca="true" t="shared" si="15" ref="L45:L60">(B45/G45)*100000</f>
        <v>6.64121507363879</v>
      </c>
      <c r="M45" s="1">
        <f t="shared" si="10"/>
        <v>35.116569881974065</v>
      </c>
      <c r="N45" s="1">
        <f t="shared" si="11"/>
        <v>7.862735739697888</v>
      </c>
    </row>
    <row r="46" spans="1:14" ht="12.75">
      <c r="A46" s="9">
        <v>1985</v>
      </c>
      <c r="B46">
        <v>223</v>
      </c>
      <c r="C46">
        <v>59</v>
      </c>
      <c r="D46">
        <v>282</v>
      </c>
      <c r="F46" s="9">
        <f t="shared" si="12"/>
        <v>1985</v>
      </c>
      <c r="G46" s="1">
        <f t="shared" si="13"/>
        <v>2629537</v>
      </c>
      <c r="H46" s="1">
        <f t="shared" si="13"/>
        <v>120330</v>
      </c>
      <c r="I46" s="1">
        <f t="shared" si="13"/>
        <v>2749867</v>
      </c>
      <c r="K46" s="9">
        <f t="shared" si="14"/>
        <v>1985</v>
      </c>
      <c r="L46" s="1">
        <f t="shared" si="15"/>
        <v>8.480580421572315</v>
      </c>
      <c r="M46" s="1">
        <f t="shared" si="10"/>
        <v>49.031829136541184</v>
      </c>
      <c r="N46" s="1">
        <f t="shared" si="11"/>
        <v>10.255041425639858</v>
      </c>
    </row>
    <row r="47" spans="1:14" ht="12.75">
      <c r="A47" s="9">
        <v>1986</v>
      </c>
      <c r="B47">
        <v>230</v>
      </c>
      <c r="C47">
        <v>81</v>
      </c>
      <c r="D47">
        <v>311</v>
      </c>
      <c r="F47" s="9">
        <f t="shared" si="12"/>
        <v>1986</v>
      </c>
      <c r="G47" s="1">
        <f t="shared" si="13"/>
        <v>2646030</v>
      </c>
      <c r="H47" s="1">
        <f t="shared" si="13"/>
        <v>122893</v>
      </c>
      <c r="I47" s="1">
        <f t="shared" si="13"/>
        <v>2768923</v>
      </c>
      <c r="K47" s="9">
        <f t="shared" si="14"/>
        <v>1986</v>
      </c>
      <c r="L47" s="1">
        <f t="shared" si="15"/>
        <v>8.692267283439719</v>
      </c>
      <c r="M47" s="1">
        <f t="shared" si="10"/>
        <v>65.91099574426534</v>
      </c>
      <c r="N47" s="1">
        <f t="shared" si="11"/>
        <v>11.231803845755191</v>
      </c>
    </row>
    <row r="48" spans="1:14" ht="12.75">
      <c r="A48" s="9">
        <v>1987</v>
      </c>
      <c r="B48">
        <v>249</v>
      </c>
      <c r="C48">
        <v>78</v>
      </c>
      <c r="D48">
        <v>327</v>
      </c>
      <c r="F48" s="9">
        <f t="shared" si="12"/>
        <v>1987</v>
      </c>
      <c r="G48" s="1">
        <f t="shared" si="13"/>
        <v>2656720</v>
      </c>
      <c r="H48" s="1">
        <f t="shared" si="13"/>
        <v>125103</v>
      </c>
      <c r="I48" s="1">
        <f t="shared" si="13"/>
        <v>2781823</v>
      </c>
      <c r="K48" s="9">
        <f t="shared" si="14"/>
        <v>1987</v>
      </c>
      <c r="L48" s="1">
        <f t="shared" si="15"/>
        <v>9.372459273088621</v>
      </c>
      <c r="M48" s="1">
        <f t="shared" si="10"/>
        <v>62.34862473321983</v>
      </c>
      <c r="N48" s="1">
        <f t="shared" si="11"/>
        <v>11.754881601022063</v>
      </c>
    </row>
    <row r="49" spans="1:14" ht="12.75">
      <c r="A49" s="9">
        <v>1988</v>
      </c>
      <c r="B49">
        <v>207</v>
      </c>
      <c r="C49">
        <v>76</v>
      </c>
      <c r="D49">
        <v>283</v>
      </c>
      <c r="F49" s="9">
        <f t="shared" si="12"/>
        <v>1988</v>
      </c>
      <c r="G49" s="1">
        <f t="shared" si="13"/>
        <v>2650229</v>
      </c>
      <c r="H49" s="1">
        <f t="shared" si="13"/>
        <v>125790</v>
      </c>
      <c r="I49" s="1">
        <f t="shared" si="13"/>
        <v>2776019</v>
      </c>
      <c r="K49" s="9">
        <f t="shared" si="14"/>
        <v>1988</v>
      </c>
      <c r="L49" s="1">
        <f t="shared" si="15"/>
        <v>7.810645797023578</v>
      </c>
      <c r="M49" s="1">
        <f t="shared" si="10"/>
        <v>60.41815724620399</v>
      </c>
      <c r="N49" s="1">
        <f t="shared" si="11"/>
        <v>10.194454720951116</v>
      </c>
    </row>
    <row r="50" spans="1:14" ht="12.75">
      <c r="A50" s="9">
        <v>1989</v>
      </c>
      <c r="B50">
        <v>254</v>
      </c>
      <c r="C50">
        <v>89</v>
      </c>
      <c r="D50">
        <v>343</v>
      </c>
      <c r="F50" s="9">
        <f t="shared" si="12"/>
        <v>1989</v>
      </c>
      <c r="G50" s="1">
        <f t="shared" si="13"/>
        <v>2653612</v>
      </c>
      <c r="H50" s="1">
        <f t="shared" si="13"/>
        <v>127183</v>
      </c>
      <c r="I50" s="1">
        <f t="shared" si="13"/>
        <v>2780795</v>
      </c>
      <c r="K50" s="9">
        <f t="shared" si="14"/>
        <v>1989</v>
      </c>
      <c r="L50" s="1">
        <f t="shared" si="15"/>
        <v>9.571859035910299</v>
      </c>
      <c r="M50" s="1">
        <f t="shared" si="10"/>
        <v>69.97790585219722</v>
      </c>
      <c r="N50" s="1">
        <f t="shared" si="11"/>
        <v>12.33460215513909</v>
      </c>
    </row>
    <row r="51" spans="1:14" ht="12.75">
      <c r="A51" s="9">
        <v>1990</v>
      </c>
      <c r="B51">
        <v>208</v>
      </c>
      <c r="C51">
        <v>76</v>
      </c>
      <c r="D51">
        <v>284</v>
      </c>
      <c r="F51" s="9">
        <f t="shared" si="12"/>
        <v>1990</v>
      </c>
      <c r="G51" s="1">
        <f t="shared" si="13"/>
        <v>2666442</v>
      </c>
      <c r="H51" s="1">
        <f t="shared" si="13"/>
        <v>129089</v>
      </c>
      <c r="I51" s="1">
        <f t="shared" si="13"/>
        <v>2795531</v>
      </c>
      <c r="K51" s="9">
        <f t="shared" si="14"/>
        <v>1990</v>
      </c>
      <c r="L51" s="1">
        <f t="shared" si="15"/>
        <v>7.800657205369553</v>
      </c>
      <c r="M51" s="1">
        <f t="shared" si="10"/>
        <v>58.8741101100791</v>
      </c>
      <c r="N51" s="1">
        <f t="shared" si="11"/>
        <v>10.159071747013359</v>
      </c>
    </row>
    <row r="52" spans="1:14" ht="12.75">
      <c r="A52" s="9">
        <v>1991</v>
      </c>
      <c r="B52">
        <v>246</v>
      </c>
      <c r="C52">
        <v>89</v>
      </c>
      <c r="D52">
        <v>335</v>
      </c>
      <c r="F52" s="9">
        <f t="shared" si="12"/>
        <v>1991</v>
      </c>
      <c r="G52" s="1">
        <f t="shared" si="13"/>
        <v>2711730</v>
      </c>
      <c r="H52" s="1">
        <f t="shared" si="13"/>
        <v>132939</v>
      </c>
      <c r="I52" s="1">
        <f t="shared" si="13"/>
        <v>2844669</v>
      </c>
      <c r="K52" s="9">
        <f t="shared" si="14"/>
        <v>1991</v>
      </c>
      <c r="L52" s="1">
        <f t="shared" si="15"/>
        <v>9.071699616112223</v>
      </c>
      <c r="M52" s="1">
        <f t="shared" si="10"/>
        <v>66.94799870617351</v>
      </c>
      <c r="N52" s="1">
        <f t="shared" si="11"/>
        <v>11.776414057312115</v>
      </c>
    </row>
    <row r="53" spans="1:14" ht="12.75">
      <c r="A53" s="9">
        <v>1992</v>
      </c>
      <c r="B53">
        <v>312</v>
      </c>
      <c r="C53">
        <v>87</v>
      </c>
      <c r="D53">
        <v>399</v>
      </c>
      <c r="F53" s="9">
        <f t="shared" si="12"/>
        <v>1992</v>
      </c>
      <c r="G53" s="1">
        <f t="shared" si="13"/>
        <v>2779309</v>
      </c>
      <c r="H53" s="1">
        <f t="shared" si="13"/>
        <v>136991</v>
      </c>
      <c r="I53" s="1">
        <f t="shared" si="13"/>
        <v>2916300</v>
      </c>
      <c r="K53" s="9">
        <f t="shared" si="14"/>
        <v>1992</v>
      </c>
      <c r="L53" s="1">
        <f t="shared" si="15"/>
        <v>11.225811883457363</v>
      </c>
      <c r="M53" s="1">
        <f t="shared" si="10"/>
        <v>63.507821681716315</v>
      </c>
      <c r="N53" s="1">
        <f t="shared" si="11"/>
        <v>13.681719987655592</v>
      </c>
    </row>
    <row r="54" spans="1:14" ht="12.75">
      <c r="A54" s="9">
        <v>1993</v>
      </c>
      <c r="B54">
        <v>276</v>
      </c>
      <c r="C54">
        <v>83</v>
      </c>
      <c r="D54">
        <v>359</v>
      </c>
      <c r="F54" s="9">
        <f t="shared" si="12"/>
        <v>1993</v>
      </c>
      <c r="G54" s="1">
        <f t="shared" si="13"/>
        <v>2851608</v>
      </c>
      <c r="H54" s="1">
        <f t="shared" si="13"/>
        <v>141047</v>
      </c>
      <c r="I54" s="1">
        <f t="shared" si="13"/>
        <v>2992655</v>
      </c>
      <c r="K54" s="9">
        <f t="shared" si="14"/>
        <v>1993</v>
      </c>
      <c r="L54" s="1">
        <f t="shared" si="15"/>
        <v>9.678749673868218</v>
      </c>
      <c r="M54" s="1">
        <f t="shared" si="10"/>
        <v>58.84563301594503</v>
      </c>
      <c r="N54" s="1">
        <f t="shared" si="11"/>
        <v>11.996036963833118</v>
      </c>
    </row>
    <row r="55" spans="1:14" ht="12.75">
      <c r="A55" s="9">
        <v>1994</v>
      </c>
      <c r="B55">
        <v>255</v>
      </c>
      <c r="C55">
        <v>75</v>
      </c>
      <c r="D55">
        <v>330</v>
      </c>
      <c r="F55" s="9">
        <f t="shared" si="12"/>
        <v>1994</v>
      </c>
      <c r="G55" s="1">
        <f t="shared" si="13"/>
        <v>2919546</v>
      </c>
      <c r="H55" s="1">
        <f t="shared" si="13"/>
        <v>144157</v>
      </c>
      <c r="I55" s="1">
        <f t="shared" si="13"/>
        <v>3063703</v>
      </c>
      <c r="K55" s="9">
        <f t="shared" si="14"/>
        <v>1994</v>
      </c>
      <c r="L55" s="1">
        <f t="shared" si="15"/>
        <v>8.73423470635503</v>
      </c>
      <c r="M55" s="1">
        <f t="shared" si="10"/>
        <v>52.02660987673162</v>
      </c>
      <c r="N55" s="1">
        <f t="shared" si="11"/>
        <v>10.771279069805397</v>
      </c>
    </row>
    <row r="56" spans="1:14" ht="12.75">
      <c r="A56" s="9">
        <v>1995</v>
      </c>
      <c r="B56">
        <v>274</v>
      </c>
      <c r="C56">
        <v>95</v>
      </c>
      <c r="D56">
        <v>369</v>
      </c>
      <c r="F56" s="9">
        <f t="shared" si="12"/>
        <v>1995</v>
      </c>
      <c r="G56" s="1">
        <f t="shared" si="13"/>
        <v>2977692</v>
      </c>
      <c r="H56" s="1">
        <f t="shared" si="13"/>
        <v>146048</v>
      </c>
      <c r="I56" s="1">
        <f t="shared" si="13"/>
        <v>3123740</v>
      </c>
      <c r="K56" s="9">
        <f t="shared" si="14"/>
        <v>1995</v>
      </c>
      <c r="L56" s="1">
        <f t="shared" si="15"/>
        <v>9.201757602868263</v>
      </c>
      <c r="M56" s="1">
        <f t="shared" si="10"/>
        <v>65.04710780017528</v>
      </c>
      <c r="N56" s="1">
        <f t="shared" si="11"/>
        <v>11.8127629060037</v>
      </c>
    </row>
    <row r="57" spans="1:14" ht="12.75">
      <c r="A57" s="9">
        <v>1996</v>
      </c>
      <c r="B57">
        <v>305</v>
      </c>
      <c r="C57">
        <v>102</v>
      </c>
      <c r="D57">
        <v>407</v>
      </c>
      <c r="F57" s="9">
        <f t="shared" si="12"/>
        <v>1996</v>
      </c>
      <c r="G57" s="1">
        <f t="shared" si="13"/>
        <v>3026511</v>
      </c>
      <c r="H57" s="1">
        <f t="shared" si="13"/>
        <v>148233</v>
      </c>
      <c r="I57" s="1">
        <f t="shared" si="13"/>
        <v>3174744</v>
      </c>
      <c r="K57" s="9">
        <f t="shared" si="14"/>
        <v>1996</v>
      </c>
      <c r="L57" s="1">
        <f t="shared" si="15"/>
        <v>10.077610819851637</v>
      </c>
      <c r="M57" s="1">
        <f t="shared" si="10"/>
        <v>68.81058873530186</v>
      </c>
      <c r="N57" s="1">
        <f t="shared" si="11"/>
        <v>12.819931307847185</v>
      </c>
    </row>
    <row r="58" spans="1:14" ht="12.75">
      <c r="A58" s="9">
        <v>1997</v>
      </c>
      <c r="B58">
        <v>384</v>
      </c>
      <c r="C58">
        <v>123</v>
      </c>
      <c r="D58">
        <v>507</v>
      </c>
      <c r="F58" s="9">
        <f t="shared" si="12"/>
        <v>1997</v>
      </c>
      <c r="G58" s="1">
        <f t="shared" si="13"/>
        <v>3075558</v>
      </c>
      <c r="H58" s="1">
        <f t="shared" si="13"/>
        <v>150906</v>
      </c>
      <c r="I58" s="1">
        <f t="shared" si="13"/>
        <v>3226464</v>
      </c>
      <c r="K58" s="9">
        <f t="shared" si="14"/>
        <v>1997</v>
      </c>
      <c r="L58" s="1">
        <f t="shared" si="15"/>
        <v>12.48553920947028</v>
      </c>
      <c r="M58" s="1">
        <f t="shared" si="10"/>
        <v>81.50769353107232</v>
      </c>
      <c r="N58" s="1">
        <f t="shared" si="11"/>
        <v>15.713796899639979</v>
      </c>
    </row>
    <row r="59" spans="1:14" ht="12.75">
      <c r="A59" s="9">
        <v>1998</v>
      </c>
      <c r="B59">
        <v>400</v>
      </c>
      <c r="C59">
        <v>105</v>
      </c>
      <c r="D59">
        <v>505</v>
      </c>
      <c r="F59" s="9">
        <f t="shared" si="12"/>
        <v>1998</v>
      </c>
      <c r="G59" s="1">
        <f t="shared" si="13"/>
        <v>3122879</v>
      </c>
      <c r="H59" s="1">
        <f t="shared" si="13"/>
        <v>154615</v>
      </c>
      <c r="I59" s="1">
        <f t="shared" si="13"/>
        <v>3277494</v>
      </c>
      <c r="K59" s="9">
        <f t="shared" si="14"/>
        <v>1998</v>
      </c>
      <c r="L59" s="1">
        <f t="shared" si="15"/>
        <v>12.808693516463492</v>
      </c>
      <c r="M59" s="1">
        <f t="shared" si="10"/>
        <v>67.91061669307635</v>
      </c>
      <c r="N59" s="1">
        <f t="shared" si="11"/>
        <v>15.40811363804175</v>
      </c>
    </row>
    <row r="60" spans="1:14" ht="12.75">
      <c r="A60" s="9">
        <v>1999</v>
      </c>
      <c r="B60">
        <v>359</v>
      </c>
      <c r="C60">
        <v>82</v>
      </c>
      <c r="D60">
        <v>441</v>
      </c>
      <c r="F60" s="9">
        <f t="shared" si="12"/>
        <v>1999</v>
      </c>
      <c r="G60" s="1">
        <f t="shared" si="13"/>
        <v>3177332</v>
      </c>
      <c r="H60" s="1">
        <f t="shared" si="13"/>
        <v>157578</v>
      </c>
      <c r="I60" s="1">
        <f t="shared" si="13"/>
        <v>3334910</v>
      </c>
      <c r="K60" s="9">
        <f t="shared" si="14"/>
        <v>1999</v>
      </c>
      <c r="L60" s="1">
        <f t="shared" si="15"/>
        <v>11.298787787993197</v>
      </c>
      <c r="M60" s="1">
        <f t="shared" si="10"/>
        <v>52.037721001662675</v>
      </c>
      <c r="N60" s="1">
        <f t="shared" si="11"/>
        <v>13.223745168535283</v>
      </c>
    </row>
    <row r="63" spans="1:14" ht="30.75" customHeight="1">
      <c r="A63" s="31" t="str">
        <f>CONCATENATE("New Admissions for Drug Offenses, BW Only: ",$A$1)</f>
        <v>New Admissions for Drug Offenses, BW Only: COLORADO</v>
      </c>
      <c r="B63" s="31"/>
      <c r="C63" s="31"/>
      <c r="D63" s="31"/>
      <c r="F63" s="31" t="str">
        <f>CONCATENATE("Total Population, BW Only: ",$A$1)</f>
        <v>Total Population, BW Only: COLORADO</v>
      </c>
      <c r="G63" s="31"/>
      <c r="H63" s="31"/>
      <c r="I63" s="31"/>
      <c r="K63" s="31" t="str">
        <f>CONCATENATE("New Admissions for Drug Offenses, BW Only, Per 100,000: ",$A$1)</f>
        <v>New Admissions for Drug Offenses, BW Only, Per 100,000: COLORADO</v>
      </c>
      <c r="L63" s="31"/>
      <c r="M63" s="31"/>
      <c r="N63" s="31"/>
    </row>
    <row r="64" spans="1:14" ht="12.75">
      <c r="A64" s="24" t="s">
        <v>25</v>
      </c>
      <c r="B64" s="25" t="s">
        <v>11</v>
      </c>
      <c r="C64" s="25" t="s">
        <v>12</v>
      </c>
      <c r="D64" s="25" t="s">
        <v>13</v>
      </c>
      <c r="F64" s="24" t="s">
        <v>25</v>
      </c>
      <c r="G64" s="25" t="s">
        <v>11</v>
      </c>
      <c r="H64" s="25" t="s">
        <v>12</v>
      </c>
      <c r="I64" s="25" t="s">
        <v>13</v>
      </c>
      <c r="K64" s="24" t="s">
        <v>25</v>
      </c>
      <c r="L64" s="25" t="s">
        <v>11</v>
      </c>
      <c r="M64" s="25" t="s">
        <v>12</v>
      </c>
      <c r="N64" s="25" t="s">
        <v>13</v>
      </c>
    </row>
    <row r="65" spans="1:14" ht="12.75">
      <c r="A65" s="9">
        <v>1983</v>
      </c>
      <c r="B65">
        <v>52</v>
      </c>
      <c r="C65">
        <v>13</v>
      </c>
      <c r="D65">
        <v>65</v>
      </c>
      <c r="F65" s="9">
        <f>F4</f>
        <v>1983</v>
      </c>
      <c r="G65" s="1">
        <f>G4</f>
        <v>2581691</v>
      </c>
      <c r="H65" s="1">
        <f>H4</f>
        <v>114105</v>
      </c>
      <c r="I65" s="1">
        <f>I4</f>
        <v>2695796</v>
      </c>
      <c r="K65" s="9">
        <f>F65</f>
        <v>1983</v>
      </c>
      <c r="L65" s="1">
        <f>(B65/G65)*100000</f>
        <v>2.0141837268673903</v>
      </c>
      <c r="M65" s="1">
        <f aca="true" t="shared" si="16" ref="M65:M81">(C65/H65)*100000</f>
        <v>11.39301520529337</v>
      </c>
      <c r="N65" s="1">
        <f aca="true" t="shared" si="17" ref="N65:N81">(D65/I65)*100000</f>
        <v>2.411161675438349</v>
      </c>
    </row>
    <row r="66" spans="1:14" ht="12.75">
      <c r="A66" s="9">
        <v>1984</v>
      </c>
      <c r="B66">
        <v>33</v>
      </c>
      <c r="C66">
        <v>13</v>
      </c>
      <c r="D66">
        <v>46</v>
      </c>
      <c r="F66" s="9">
        <f aca="true" t="shared" si="18" ref="F66:I81">F5</f>
        <v>1984</v>
      </c>
      <c r="G66" s="1">
        <f t="shared" si="18"/>
        <v>2604945</v>
      </c>
      <c r="H66" s="1">
        <f t="shared" si="18"/>
        <v>116754</v>
      </c>
      <c r="I66" s="1">
        <f t="shared" si="18"/>
        <v>2721699</v>
      </c>
      <c r="K66" s="9">
        <f aca="true" t="shared" si="19" ref="K66:K81">F66</f>
        <v>1984</v>
      </c>
      <c r="L66" s="1">
        <f aca="true" t="shared" si="20" ref="L66:L81">(B66/G66)*100000</f>
        <v>1.2668213724282087</v>
      </c>
      <c r="M66" s="1">
        <f t="shared" si="16"/>
        <v>11.134522157699093</v>
      </c>
      <c r="N66" s="1">
        <f t="shared" si="17"/>
        <v>1.6901207664771158</v>
      </c>
    </row>
    <row r="67" spans="1:14" ht="12.75">
      <c r="A67" s="9">
        <v>1985</v>
      </c>
      <c r="B67">
        <v>69</v>
      </c>
      <c r="C67">
        <v>16</v>
      </c>
      <c r="D67">
        <v>85</v>
      </c>
      <c r="F67" s="9">
        <f t="shared" si="18"/>
        <v>1985</v>
      </c>
      <c r="G67" s="1">
        <f t="shared" si="18"/>
        <v>2629537</v>
      </c>
      <c r="H67" s="1">
        <f t="shared" si="18"/>
        <v>120330</v>
      </c>
      <c r="I67" s="1">
        <f t="shared" si="18"/>
        <v>2749867</v>
      </c>
      <c r="K67" s="9">
        <f t="shared" si="19"/>
        <v>1985</v>
      </c>
      <c r="L67" s="1">
        <f t="shared" si="20"/>
        <v>2.6240360945672183</v>
      </c>
      <c r="M67" s="1">
        <f t="shared" si="16"/>
        <v>13.296767223468795</v>
      </c>
      <c r="N67" s="1">
        <f t="shared" si="17"/>
        <v>3.091058585742511</v>
      </c>
    </row>
    <row r="68" spans="1:14" ht="12.75">
      <c r="A68" s="9">
        <v>1986</v>
      </c>
      <c r="B68">
        <v>85</v>
      </c>
      <c r="C68">
        <v>20</v>
      </c>
      <c r="D68">
        <v>105</v>
      </c>
      <c r="F68" s="9">
        <f t="shared" si="18"/>
        <v>1986</v>
      </c>
      <c r="G68" s="1">
        <f t="shared" si="18"/>
        <v>2646030</v>
      </c>
      <c r="H68" s="1">
        <f t="shared" si="18"/>
        <v>122893</v>
      </c>
      <c r="I68" s="1">
        <f t="shared" si="18"/>
        <v>2768923</v>
      </c>
      <c r="K68" s="9">
        <f t="shared" si="19"/>
        <v>1986</v>
      </c>
      <c r="L68" s="1">
        <f t="shared" si="20"/>
        <v>3.2123596482277224</v>
      </c>
      <c r="M68" s="1">
        <f t="shared" si="16"/>
        <v>16.274319936855637</v>
      </c>
      <c r="N68" s="1">
        <f t="shared" si="17"/>
        <v>3.792088115126351</v>
      </c>
    </row>
    <row r="69" spans="1:14" ht="12.75">
      <c r="A69" s="9">
        <v>1987</v>
      </c>
      <c r="B69">
        <v>110</v>
      </c>
      <c r="C69">
        <v>36</v>
      </c>
      <c r="D69">
        <v>146</v>
      </c>
      <c r="F69" s="9">
        <f t="shared" si="18"/>
        <v>1987</v>
      </c>
      <c r="G69" s="1">
        <f t="shared" si="18"/>
        <v>2656720</v>
      </c>
      <c r="H69" s="1">
        <f t="shared" si="18"/>
        <v>125103</v>
      </c>
      <c r="I69" s="1">
        <f t="shared" si="18"/>
        <v>2781823</v>
      </c>
      <c r="K69" s="9">
        <f t="shared" si="19"/>
        <v>1987</v>
      </c>
      <c r="L69" s="1">
        <f t="shared" si="20"/>
        <v>4.140443855581318</v>
      </c>
      <c r="M69" s="1">
        <f t="shared" si="16"/>
        <v>28.776288338409152</v>
      </c>
      <c r="N69" s="1">
        <f t="shared" si="17"/>
        <v>5.248356922780493</v>
      </c>
    </row>
    <row r="70" spans="1:14" ht="12.75">
      <c r="A70" s="9">
        <v>1988</v>
      </c>
      <c r="B70">
        <v>110</v>
      </c>
      <c r="C70">
        <v>65</v>
      </c>
      <c r="D70">
        <v>175</v>
      </c>
      <c r="F70" s="9">
        <f t="shared" si="18"/>
        <v>1988</v>
      </c>
      <c r="G70" s="1">
        <f t="shared" si="18"/>
        <v>2650229</v>
      </c>
      <c r="H70" s="1">
        <f t="shared" si="18"/>
        <v>125790</v>
      </c>
      <c r="I70" s="1">
        <f t="shared" si="18"/>
        <v>2776019</v>
      </c>
      <c r="K70" s="9">
        <f t="shared" si="19"/>
        <v>1988</v>
      </c>
      <c r="L70" s="1">
        <f t="shared" si="20"/>
        <v>4.150584723056008</v>
      </c>
      <c r="M70" s="1">
        <f t="shared" si="16"/>
        <v>51.673423960569195</v>
      </c>
      <c r="N70" s="1">
        <f t="shared" si="17"/>
        <v>6.303991435217123</v>
      </c>
    </row>
    <row r="71" spans="1:14" ht="12.75">
      <c r="A71" s="9">
        <v>1989</v>
      </c>
      <c r="B71">
        <v>182</v>
      </c>
      <c r="C71">
        <v>136</v>
      </c>
      <c r="D71">
        <v>318</v>
      </c>
      <c r="F71" s="9">
        <f t="shared" si="18"/>
        <v>1989</v>
      </c>
      <c r="G71" s="1">
        <f t="shared" si="18"/>
        <v>2653612</v>
      </c>
      <c r="H71" s="1">
        <f t="shared" si="18"/>
        <v>127183</v>
      </c>
      <c r="I71" s="1">
        <f t="shared" si="18"/>
        <v>2780795</v>
      </c>
      <c r="K71" s="9">
        <f t="shared" si="19"/>
        <v>1989</v>
      </c>
      <c r="L71" s="1">
        <f t="shared" si="20"/>
        <v>6.85857615958927</v>
      </c>
      <c r="M71" s="1">
        <f t="shared" si="16"/>
        <v>106.93253029099802</v>
      </c>
      <c r="N71" s="1">
        <f t="shared" si="17"/>
        <v>11.43557867444382</v>
      </c>
    </row>
    <row r="72" spans="1:14" ht="12.75">
      <c r="A72" s="9">
        <v>1990</v>
      </c>
      <c r="B72">
        <v>141</v>
      </c>
      <c r="C72">
        <v>114</v>
      </c>
      <c r="D72">
        <v>255</v>
      </c>
      <c r="F72" s="9">
        <f t="shared" si="18"/>
        <v>1990</v>
      </c>
      <c r="G72" s="1">
        <f t="shared" si="18"/>
        <v>2666442</v>
      </c>
      <c r="H72" s="1">
        <f t="shared" si="18"/>
        <v>129089</v>
      </c>
      <c r="I72" s="1">
        <f t="shared" si="18"/>
        <v>2795531</v>
      </c>
      <c r="K72" s="9">
        <f t="shared" si="19"/>
        <v>1990</v>
      </c>
      <c r="L72" s="1">
        <f t="shared" si="20"/>
        <v>5.287945509409168</v>
      </c>
      <c r="M72" s="1">
        <f t="shared" si="16"/>
        <v>88.31116516511864</v>
      </c>
      <c r="N72" s="1">
        <f t="shared" si="17"/>
        <v>9.121701744677486</v>
      </c>
    </row>
    <row r="73" spans="1:14" ht="12.75">
      <c r="A73" s="9">
        <v>1991</v>
      </c>
      <c r="B73">
        <v>142</v>
      </c>
      <c r="C73">
        <v>97</v>
      </c>
      <c r="D73">
        <v>239</v>
      </c>
      <c r="F73" s="9">
        <f t="shared" si="18"/>
        <v>1991</v>
      </c>
      <c r="G73" s="1">
        <f t="shared" si="18"/>
        <v>2711730</v>
      </c>
      <c r="H73" s="1">
        <f t="shared" si="18"/>
        <v>132939</v>
      </c>
      <c r="I73" s="1">
        <f t="shared" si="18"/>
        <v>2844669</v>
      </c>
      <c r="K73" s="9">
        <f t="shared" si="19"/>
        <v>1991</v>
      </c>
      <c r="L73" s="1">
        <f t="shared" si="20"/>
        <v>5.236509534503804</v>
      </c>
      <c r="M73" s="1">
        <f t="shared" si="16"/>
        <v>72.96579634268348</v>
      </c>
      <c r="N73" s="1">
        <f t="shared" si="17"/>
        <v>8.40168047670924</v>
      </c>
    </row>
    <row r="74" spans="1:14" ht="12.75">
      <c r="A74" s="9">
        <v>1992</v>
      </c>
      <c r="B74">
        <v>156</v>
      </c>
      <c r="C74">
        <v>165</v>
      </c>
      <c r="D74">
        <v>321</v>
      </c>
      <c r="F74" s="9">
        <f t="shared" si="18"/>
        <v>1992</v>
      </c>
      <c r="G74" s="1">
        <f t="shared" si="18"/>
        <v>2779309</v>
      </c>
      <c r="H74" s="1">
        <f t="shared" si="18"/>
        <v>136991</v>
      </c>
      <c r="I74" s="1">
        <f t="shared" si="18"/>
        <v>2916300</v>
      </c>
      <c r="K74" s="9">
        <f t="shared" si="19"/>
        <v>1992</v>
      </c>
      <c r="L74" s="1">
        <f t="shared" si="20"/>
        <v>5.612905941728681</v>
      </c>
      <c r="M74" s="1">
        <f t="shared" si="16"/>
        <v>120.44586870670335</v>
      </c>
      <c r="N74" s="1">
        <f t="shared" si="17"/>
        <v>11.007098035181565</v>
      </c>
    </row>
    <row r="75" spans="1:14" ht="12.75">
      <c r="A75" s="9">
        <v>1993</v>
      </c>
      <c r="B75">
        <v>156</v>
      </c>
      <c r="C75">
        <v>185</v>
      </c>
      <c r="D75">
        <v>341</v>
      </c>
      <c r="F75" s="9">
        <f t="shared" si="18"/>
        <v>1993</v>
      </c>
      <c r="G75" s="1">
        <f t="shared" si="18"/>
        <v>2851608</v>
      </c>
      <c r="H75" s="1">
        <f t="shared" si="18"/>
        <v>141047</v>
      </c>
      <c r="I75" s="1">
        <f t="shared" si="18"/>
        <v>2992655</v>
      </c>
      <c r="K75" s="9">
        <f t="shared" si="19"/>
        <v>1993</v>
      </c>
      <c r="L75" s="1">
        <f t="shared" si="20"/>
        <v>5.470597641751601</v>
      </c>
      <c r="M75" s="1">
        <f t="shared" si="16"/>
        <v>131.1619531078293</v>
      </c>
      <c r="N75" s="1">
        <f t="shared" si="17"/>
        <v>11.394564358404159</v>
      </c>
    </row>
    <row r="76" spans="1:14" ht="12.75">
      <c r="A76" s="9">
        <v>1994</v>
      </c>
      <c r="B76">
        <v>165</v>
      </c>
      <c r="C76">
        <v>226</v>
      </c>
      <c r="D76">
        <v>391</v>
      </c>
      <c r="F76" s="9">
        <f t="shared" si="18"/>
        <v>1994</v>
      </c>
      <c r="G76" s="1">
        <f t="shared" si="18"/>
        <v>2919546</v>
      </c>
      <c r="H76" s="1">
        <f t="shared" si="18"/>
        <v>144157</v>
      </c>
      <c r="I76" s="1">
        <f t="shared" si="18"/>
        <v>3063703</v>
      </c>
      <c r="K76" s="9">
        <f t="shared" si="19"/>
        <v>1994</v>
      </c>
      <c r="L76" s="1">
        <f t="shared" si="20"/>
        <v>5.651563633523843</v>
      </c>
      <c r="M76" s="1">
        <f t="shared" si="16"/>
        <v>156.77351776188462</v>
      </c>
      <c r="N76" s="1">
        <f t="shared" si="17"/>
        <v>12.76233368573912</v>
      </c>
    </row>
    <row r="77" spans="1:14" ht="12.75">
      <c r="A77" s="9">
        <v>1995</v>
      </c>
      <c r="B77">
        <v>194</v>
      </c>
      <c r="C77">
        <v>271</v>
      </c>
      <c r="D77">
        <v>465</v>
      </c>
      <c r="F77" s="9">
        <f t="shared" si="18"/>
        <v>1995</v>
      </c>
      <c r="G77" s="1">
        <f t="shared" si="18"/>
        <v>2977692</v>
      </c>
      <c r="H77" s="1">
        <f t="shared" si="18"/>
        <v>146048</v>
      </c>
      <c r="I77" s="1">
        <f t="shared" si="18"/>
        <v>3123740</v>
      </c>
      <c r="K77" s="9">
        <f t="shared" si="19"/>
        <v>1995</v>
      </c>
      <c r="L77" s="1">
        <f t="shared" si="20"/>
        <v>6.515113047286287</v>
      </c>
      <c r="M77" s="1">
        <f t="shared" si="16"/>
        <v>185.5554338299737</v>
      </c>
      <c r="N77" s="1">
        <f t="shared" si="17"/>
        <v>14.886002036020924</v>
      </c>
    </row>
    <row r="78" spans="1:14" ht="12.75">
      <c r="A78" s="9">
        <v>1996</v>
      </c>
      <c r="B78">
        <v>269</v>
      </c>
      <c r="C78">
        <v>308</v>
      </c>
      <c r="D78">
        <v>577</v>
      </c>
      <c r="F78" s="9">
        <f t="shared" si="18"/>
        <v>1996</v>
      </c>
      <c r="G78" s="1">
        <f t="shared" si="18"/>
        <v>3026511</v>
      </c>
      <c r="H78" s="1">
        <f t="shared" si="18"/>
        <v>148233</v>
      </c>
      <c r="I78" s="1">
        <f t="shared" si="18"/>
        <v>3174744</v>
      </c>
      <c r="K78" s="9">
        <f t="shared" si="19"/>
        <v>1996</v>
      </c>
      <c r="L78" s="1">
        <f t="shared" si="20"/>
        <v>8.888122329639641</v>
      </c>
      <c r="M78" s="1">
        <f t="shared" si="16"/>
        <v>207.78099343600954</v>
      </c>
      <c r="N78" s="1">
        <f t="shared" si="17"/>
        <v>18.174693770584337</v>
      </c>
    </row>
    <row r="79" spans="1:14" ht="12.75">
      <c r="A79" s="9">
        <v>1997</v>
      </c>
      <c r="B79">
        <v>322</v>
      </c>
      <c r="C79">
        <v>411</v>
      </c>
      <c r="D79">
        <v>733</v>
      </c>
      <c r="F79" s="9">
        <f t="shared" si="18"/>
        <v>1997</v>
      </c>
      <c r="G79" s="1">
        <f t="shared" si="18"/>
        <v>3075558</v>
      </c>
      <c r="H79" s="1">
        <f t="shared" si="18"/>
        <v>150906</v>
      </c>
      <c r="I79" s="1">
        <f t="shared" si="18"/>
        <v>3226464</v>
      </c>
      <c r="K79" s="9">
        <f t="shared" si="19"/>
        <v>1997</v>
      </c>
      <c r="L79" s="1">
        <f t="shared" si="20"/>
        <v>10.469644857941224</v>
      </c>
      <c r="M79" s="1">
        <f t="shared" si="16"/>
        <v>272.35497594529045</v>
      </c>
      <c r="N79" s="1">
        <f t="shared" si="17"/>
        <v>22.718369087645176</v>
      </c>
    </row>
    <row r="80" spans="1:14" ht="12.75">
      <c r="A80" s="9">
        <v>1998</v>
      </c>
      <c r="B80">
        <v>425</v>
      </c>
      <c r="C80">
        <v>366</v>
      </c>
      <c r="D80">
        <v>791</v>
      </c>
      <c r="F80" s="9">
        <f t="shared" si="18"/>
        <v>1998</v>
      </c>
      <c r="G80" s="1">
        <f t="shared" si="18"/>
        <v>3122879</v>
      </c>
      <c r="H80" s="1">
        <f t="shared" si="18"/>
        <v>154615</v>
      </c>
      <c r="I80" s="1">
        <f t="shared" si="18"/>
        <v>3277494</v>
      </c>
      <c r="K80" s="9">
        <f t="shared" si="19"/>
        <v>1998</v>
      </c>
      <c r="L80" s="1">
        <f t="shared" si="20"/>
        <v>13.609236861242461</v>
      </c>
      <c r="M80" s="1">
        <f t="shared" si="16"/>
        <v>236.71700675872327</v>
      </c>
      <c r="N80" s="1">
        <f t="shared" si="17"/>
        <v>24.134292846912917</v>
      </c>
    </row>
    <row r="81" spans="1:14" ht="12.75">
      <c r="A81" s="9">
        <v>1999</v>
      </c>
      <c r="B81">
        <v>370</v>
      </c>
      <c r="C81">
        <v>325</v>
      </c>
      <c r="D81">
        <v>695</v>
      </c>
      <c r="F81" s="9">
        <f t="shared" si="18"/>
        <v>1999</v>
      </c>
      <c r="G81" s="1">
        <f t="shared" si="18"/>
        <v>3177332</v>
      </c>
      <c r="H81" s="1">
        <f t="shared" si="18"/>
        <v>157578</v>
      </c>
      <c r="I81" s="1">
        <f t="shared" si="18"/>
        <v>3334910</v>
      </c>
      <c r="K81" s="9">
        <f t="shared" si="19"/>
        <v>1999</v>
      </c>
      <c r="L81" s="1">
        <f t="shared" si="20"/>
        <v>11.644990199324464</v>
      </c>
      <c r="M81" s="1">
        <f t="shared" si="16"/>
        <v>206.24706494561423</v>
      </c>
      <c r="N81" s="1">
        <f t="shared" si="17"/>
        <v>20.840142612544266</v>
      </c>
    </row>
    <row r="83" spans="1:14" ht="27" customHeight="1">
      <c r="A83" s="31" t="str">
        <f>CONCATENATE("New Admissions for Other / Unknown Offenses, BW Only: ",$A$1)</f>
        <v>New Admissions for Other / Unknown Offenses, BW Only: COLORADO</v>
      </c>
      <c r="B83" s="31"/>
      <c r="C83" s="31"/>
      <c r="D83" s="31"/>
      <c r="F83" s="31" t="str">
        <f>CONCATENATE("Total Population, BW Only: ",$A$1)</f>
        <v>Total Population, BW Only: COLORADO</v>
      </c>
      <c r="G83" s="31"/>
      <c r="H83" s="31"/>
      <c r="I83" s="31"/>
      <c r="K83" s="31" t="str">
        <f>CONCATENATE("New Admissions for Other &amp; Unknown Offenses, BW Only, Per 100,000: ",$A$1)</f>
        <v>New Admissions for Other &amp; Unknown Offenses, BW Only, Per 100,000: COLORADO</v>
      </c>
      <c r="L83" s="31"/>
      <c r="M83" s="31"/>
      <c r="N83" s="31"/>
    </row>
    <row r="84" spans="1:14" ht="12.75">
      <c r="A84" s="24" t="s">
        <v>25</v>
      </c>
      <c r="B84" s="25" t="s">
        <v>11</v>
      </c>
      <c r="C84" s="25" t="s">
        <v>12</v>
      </c>
      <c r="D84" s="25" t="s">
        <v>13</v>
      </c>
      <c r="F84" s="24" t="s">
        <v>25</v>
      </c>
      <c r="G84" s="25" t="s">
        <v>11</v>
      </c>
      <c r="H84" s="25" t="s">
        <v>12</v>
      </c>
      <c r="I84" s="25" t="s">
        <v>13</v>
      </c>
      <c r="K84" s="24" t="s">
        <v>25</v>
      </c>
      <c r="L84" s="25" t="s">
        <v>11</v>
      </c>
      <c r="M84" s="25" t="s">
        <v>12</v>
      </c>
      <c r="N84" s="25" t="s">
        <v>13</v>
      </c>
    </row>
    <row r="85" spans="1:14" ht="12.75">
      <c r="A85" s="9">
        <v>1983</v>
      </c>
      <c r="B85">
        <v>146</v>
      </c>
      <c r="C85">
        <v>56</v>
      </c>
      <c r="D85">
        <v>202</v>
      </c>
      <c r="F85" s="9">
        <f aca="true" t="shared" si="21" ref="F85:I99">F4</f>
        <v>1983</v>
      </c>
      <c r="G85" s="1">
        <f t="shared" si="21"/>
        <v>2581691</v>
      </c>
      <c r="H85" s="1">
        <f t="shared" si="21"/>
        <v>114105</v>
      </c>
      <c r="I85" s="1">
        <f t="shared" si="21"/>
        <v>2695796</v>
      </c>
      <c r="K85" s="9">
        <f>F85</f>
        <v>1983</v>
      </c>
      <c r="L85" s="1">
        <f>(B85/G85)*100000</f>
        <v>5.655208156204596</v>
      </c>
      <c r="M85" s="1">
        <f aca="true" t="shared" si="22" ref="M85:M101">(C85/H85)*100000</f>
        <v>49.07760396126375</v>
      </c>
      <c r="N85" s="1">
        <f aca="true" t="shared" si="23" ref="N85:N101">(D85/I85)*100000</f>
        <v>7.493148591362255</v>
      </c>
    </row>
    <row r="86" spans="1:14" ht="12.75">
      <c r="A86" s="9">
        <v>1984</v>
      </c>
      <c r="B86">
        <v>122</v>
      </c>
      <c r="C86">
        <v>42</v>
      </c>
      <c r="D86">
        <v>164</v>
      </c>
      <c r="F86" s="9">
        <f t="shared" si="21"/>
        <v>1984</v>
      </c>
      <c r="G86" s="1">
        <f t="shared" si="21"/>
        <v>2604945</v>
      </c>
      <c r="H86" s="1">
        <f t="shared" si="21"/>
        <v>116754</v>
      </c>
      <c r="I86" s="1">
        <f t="shared" si="21"/>
        <v>2721699</v>
      </c>
      <c r="K86" s="9">
        <f aca="true" t="shared" si="24" ref="K86:K101">F86</f>
        <v>1984</v>
      </c>
      <c r="L86" s="1">
        <f aca="true" t="shared" si="25" ref="L86:L101">(B86/G86)*100000</f>
        <v>4.68340022534065</v>
      </c>
      <c r="M86" s="1">
        <f t="shared" si="22"/>
        <v>35.97307158641245</v>
      </c>
      <c r="N86" s="1">
        <f t="shared" si="23"/>
        <v>6.025647950048849</v>
      </c>
    </row>
    <row r="87" spans="1:14" ht="12.75">
      <c r="A87" s="9">
        <v>1985</v>
      </c>
      <c r="B87">
        <v>186</v>
      </c>
      <c r="C87">
        <v>66</v>
      </c>
      <c r="D87">
        <v>252</v>
      </c>
      <c r="F87" s="9">
        <f t="shared" si="21"/>
        <v>1985</v>
      </c>
      <c r="G87" s="1">
        <f t="shared" si="21"/>
        <v>2629537</v>
      </c>
      <c r="H87" s="1">
        <f t="shared" si="21"/>
        <v>120330</v>
      </c>
      <c r="I87" s="1">
        <f t="shared" si="21"/>
        <v>2749867</v>
      </c>
      <c r="K87" s="9">
        <f t="shared" si="24"/>
        <v>1985</v>
      </c>
      <c r="L87" s="1">
        <f t="shared" si="25"/>
        <v>7.073488602746416</v>
      </c>
      <c r="M87" s="1">
        <f t="shared" si="22"/>
        <v>54.84916479680877</v>
      </c>
      <c r="N87" s="1">
        <f t="shared" si="23"/>
        <v>9.164079571848385</v>
      </c>
    </row>
    <row r="88" spans="1:14" ht="12.75">
      <c r="A88" s="9">
        <v>1986</v>
      </c>
      <c r="B88">
        <v>220</v>
      </c>
      <c r="C88">
        <v>84</v>
      </c>
      <c r="D88">
        <v>304</v>
      </c>
      <c r="F88" s="9">
        <f t="shared" si="21"/>
        <v>1986</v>
      </c>
      <c r="G88" s="1">
        <f t="shared" si="21"/>
        <v>2646030</v>
      </c>
      <c r="H88" s="1">
        <f t="shared" si="21"/>
        <v>122893</v>
      </c>
      <c r="I88" s="1">
        <f t="shared" si="21"/>
        <v>2768923</v>
      </c>
      <c r="K88" s="9">
        <f t="shared" si="24"/>
        <v>1986</v>
      </c>
      <c r="L88" s="1">
        <f t="shared" si="25"/>
        <v>8.31434261894234</v>
      </c>
      <c r="M88" s="1">
        <f t="shared" si="22"/>
        <v>68.35214373479369</v>
      </c>
      <c r="N88" s="1">
        <f t="shared" si="23"/>
        <v>10.978997971413435</v>
      </c>
    </row>
    <row r="89" spans="1:14" ht="12.75">
      <c r="A89" s="9">
        <v>1987</v>
      </c>
      <c r="B89">
        <v>268</v>
      </c>
      <c r="C89">
        <v>88</v>
      </c>
      <c r="D89">
        <v>356</v>
      </c>
      <c r="F89" s="9">
        <f t="shared" si="21"/>
        <v>1987</v>
      </c>
      <c r="G89" s="1">
        <f t="shared" si="21"/>
        <v>2656720</v>
      </c>
      <c r="H89" s="1">
        <f t="shared" si="21"/>
        <v>125103</v>
      </c>
      <c r="I89" s="1">
        <f t="shared" si="21"/>
        <v>2781823</v>
      </c>
      <c r="K89" s="9">
        <f t="shared" si="24"/>
        <v>1987</v>
      </c>
      <c r="L89" s="1">
        <f t="shared" si="25"/>
        <v>10.087626848143577</v>
      </c>
      <c r="M89" s="1">
        <f t="shared" si="22"/>
        <v>70.3420381605557</v>
      </c>
      <c r="N89" s="1">
        <f t="shared" si="23"/>
        <v>12.797363455546956</v>
      </c>
    </row>
    <row r="90" spans="1:14" ht="12.75">
      <c r="A90" s="9">
        <v>1988</v>
      </c>
      <c r="B90">
        <v>256</v>
      </c>
      <c r="C90">
        <v>87</v>
      </c>
      <c r="D90">
        <v>343</v>
      </c>
      <c r="F90" s="9">
        <f t="shared" si="21"/>
        <v>1988</v>
      </c>
      <c r="G90" s="1">
        <f t="shared" si="21"/>
        <v>2650229</v>
      </c>
      <c r="H90" s="1">
        <f t="shared" si="21"/>
        <v>125790</v>
      </c>
      <c r="I90" s="1">
        <f t="shared" si="21"/>
        <v>2776019</v>
      </c>
      <c r="K90" s="9">
        <f t="shared" si="24"/>
        <v>1988</v>
      </c>
      <c r="L90" s="1">
        <f t="shared" si="25"/>
        <v>9.659542628203072</v>
      </c>
      <c r="M90" s="1">
        <f t="shared" si="22"/>
        <v>69.16289053183877</v>
      </c>
      <c r="N90" s="1">
        <f t="shared" si="23"/>
        <v>12.355823213025559</v>
      </c>
    </row>
    <row r="91" spans="1:14" ht="12.75">
      <c r="A91" s="9">
        <v>1989</v>
      </c>
      <c r="B91">
        <v>329</v>
      </c>
      <c r="C91">
        <v>117</v>
      </c>
      <c r="D91">
        <v>446</v>
      </c>
      <c r="F91" s="9">
        <f t="shared" si="21"/>
        <v>1989</v>
      </c>
      <c r="G91" s="1">
        <f t="shared" si="21"/>
        <v>2653612</v>
      </c>
      <c r="H91" s="1">
        <f t="shared" si="21"/>
        <v>127183</v>
      </c>
      <c r="I91" s="1">
        <f t="shared" si="21"/>
        <v>2780795</v>
      </c>
      <c r="K91" s="9">
        <f t="shared" si="24"/>
        <v>1989</v>
      </c>
      <c r="L91" s="1">
        <f t="shared" si="25"/>
        <v>12.398195365411372</v>
      </c>
      <c r="M91" s="1">
        <f t="shared" si="22"/>
        <v>91.99342679446153</v>
      </c>
      <c r="N91" s="1">
        <f t="shared" si="23"/>
        <v>16.038578895603596</v>
      </c>
    </row>
    <row r="92" spans="1:14" ht="12.75">
      <c r="A92" s="9">
        <v>1990</v>
      </c>
      <c r="B92">
        <v>310</v>
      </c>
      <c r="C92">
        <v>110</v>
      </c>
      <c r="D92">
        <v>420</v>
      </c>
      <c r="F92" s="9">
        <f t="shared" si="21"/>
        <v>1990</v>
      </c>
      <c r="G92" s="1">
        <f t="shared" si="21"/>
        <v>2666442</v>
      </c>
      <c r="H92" s="1">
        <f t="shared" si="21"/>
        <v>129089</v>
      </c>
      <c r="I92" s="1">
        <f t="shared" si="21"/>
        <v>2795531</v>
      </c>
      <c r="K92" s="9">
        <f t="shared" si="24"/>
        <v>1990</v>
      </c>
      <c r="L92" s="1">
        <f t="shared" si="25"/>
        <v>11.625979488771929</v>
      </c>
      <c r="M92" s="1">
        <f t="shared" si="22"/>
        <v>85.21252779090395</v>
      </c>
      <c r="N92" s="1">
        <f t="shared" si="23"/>
        <v>15.023979344174686</v>
      </c>
    </row>
    <row r="93" spans="1:14" ht="12.75">
      <c r="A93" s="9">
        <v>1991</v>
      </c>
      <c r="B93">
        <v>294</v>
      </c>
      <c r="C93">
        <v>122</v>
      </c>
      <c r="D93">
        <v>416</v>
      </c>
      <c r="F93" s="9">
        <f t="shared" si="21"/>
        <v>1991</v>
      </c>
      <c r="G93" s="1">
        <f t="shared" si="21"/>
        <v>2711730</v>
      </c>
      <c r="H93" s="1">
        <f t="shared" si="21"/>
        <v>132939</v>
      </c>
      <c r="I93" s="1">
        <f t="shared" si="21"/>
        <v>2844669</v>
      </c>
      <c r="K93" s="9">
        <f t="shared" si="24"/>
        <v>1991</v>
      </c>
      <c r="L93" s="1">
        <f t="shared" si="25"/>
        <v>10.84178734608534</v>
      </c>
      <c r="M93" s="1">
        <f t="shared" si="22"/>
        <v>91.77141395677717</v>
      </c>
      <c r="N93" s="1">
        <f t="shared" si="23"/>
        <v>14.623845515945792</v>
      </c>
    </row>
    <row r="94" spans="1:14" ht="12.75">
      <c r="A94" s="9">
        <v>1992</v>
      </c>
      <c r="B94">
        <v>412</v>
      </c>
      <c r="C94">
        <v>174</v>
      </c>
      <c r="D94">
        <v>586</v>
      </c>
      <c r="F94" s="9">
        <f t="shared" si="21"/>
        <v>1992</v>
      </c>
      <c r="G94" s="1">
        <f t="shared" si="21"/>
        <v>2779309</v>
      </c>
      <c r="H94" s="1">
        <f t="shared" si="21"/>
        <v>136991</v>
      </c>
      <c r="I94" s="1">
        <f t="shared" si="21"/>
        <v>2916300</v>
      </c>
      <c r="K94" s="9">
        <f t="shared" si="24"/>
        <v>1992</v>
      </c>
      <c r="L94" s="1">
        <f t="shared" si="25"/>
        <v>14.82382851277062</v>
      </c>
      <c r="M94" s="1">
        <f t="shared" si="22"/>
        <v>127.01564336343263</v>
      </c>
      <c r="N94" s="1">
        <f t="shared" si="23"/>
        <v>20.093954668586907</v>
      </c>
    </row>
    <row r="95" spans="1:14" ht="12.75">
      <c r="A95" s="9">
        <v>1993</v>
      </c>
      <c r="B95">
        <v>422</v>
      </c>
      <c r="C95">
        <v>213</v>
      </c>
      <c r="D95">
        <v>635</v>
      </c>
      <c r="F95" s="9">
        <f t="shared" si="21"/>
        <v>1993</v>
      </c>
      <c r="G95" s="1">
        <f t="shared" si="21"/>
        <v>2851608</v>
      </c>
      <c r="H95" s="1">
        <f t="shared" si="21"/>
        <v>141047</v>
      </c>
      <c r="I95" s="1">
        <f t="shared" si="21"/>
        <v>2992655</v>
      </c>
      <c r="K95" s="9">
        <f t="shared" si="24"/>
        <v>1993</v>
      </c>
      <c r="L95" s="1">
        <f t="shared" si="25"/>
        <v>14.798667979610101</v>
      </c>
      <c r="M95" s="1">
        <f t="shared" si="22"/>
        <v>151.01349195658184</v>
      </c>
      <c r="N95" s="1">
        <f t="shared" si="23"/>
        <v>21.218616913743816</v>
      </c>
    </row>
    <row r="96" spans="1:14" ht="12.75">
      <c r="A96" s="9">
        <v>1994</v>
      </c>
      <c r="B96">
        <v>420</v>
      </c>
      <c r="C96">
        <v>191</v>
      </c>
      <c r="D96">
        <v>611</v>
      </c>
      <c r="F96" s="9">
        <f t="shared" si="21"/>
        <v>1994</v>
      </c>
      <c r="G96" s="1">
        <f t="shared" si="21"/>
        <v>2919546</v>
      </c>
      <c r="H96" s="1">
        <f t="shared" si="21"/>
        <v>144157</v>
      </c>
      <c r="I96" s="1">
        <f t="shared" si="21"/>
        <v>3063703</v>
      </c>
      <c r="K96" s="9">
        <f t="shared" si="24"/>
        <v>1994</v>
      </c>
      <c r="L96" s="1">
        <f t="shared" si="25"/>
        <v>14.385798339878873</v>
      </c>
      <c r="M96" s="1">
        <f t="shared" si="22"/>
        <v>132.49443315274317</v>
      </c>
      <c r="N96" s="1">
        <f t="shared" si="23"/>
        <v>19.943186398942718</v>
      </c>
    </row>
    <row r="97" spans="1:14" ht="12.75">
      <c r="A97" s="9">
        <v>1995</v>
      </c>
      <c r="B97">
        <v>466</v>
      </c>
      <c r="C97">
        <v>192</v>
      </c>
      <c r="D97">
        <v>658</v>
      </c>
      <c r="F97" s="9">
        <f t="shared" si="21"/>
        <v>1995</v>
      </c>
      <c r="G97" s="1">
        <f t="shared" si="21"/>
        <v>2977692</v>
      </c>
      <c r="H97" s="1">
        <f t="shared" si="21"/>
        <v>146048</v>
      </c>
      <c r="I97" s="1">
        <f t="shared" si="21"/>
        <v>3123740</v>
      </c>
      <c r="K97" s="9">
        <f t="shared" si="24"/>
        <v>1995</v>
      </c>
      <c r="L97" s="1">
        <f t="shared" si="25"/>
        <v>15.649704536264998</v>
      </c>
      <c r="M97" s="1">
        <f t="shared" si="22"/>
        <v>131.46362839614375</v>
      </c>
      <c r="N97" s="1">
        <f t="shared" si="23"/>
        <v>21.064493203659715</v>
      </c>
    </row>
    <row r="98" spans="1:14" ht="12.75">
      <c r="A98" s="9">
        <v>1996</v>
      </c>
      <c r="B98">
        <v>464</v>
      </c>
      <c r="C98">
        <v>150</v>
      </c>
      <c r="D98">
        <v>614</v>
      </c>
      <c r="F98" s="9">
        <f t="shared" si="21"/>
        <v>1996</v>
      </c>
      <c r="G98" s="1">
        <f t="shared" si="21"/>
        <v>3026511</v>
      </c>
      <c r="H98" s="1">
        <f t="shared" si="21"/>
        <v>148233</v>
      </c>
      <c r="I98" s="1">
        <f t="shared" si="21"/>
        <v>3174744</v>
      </c>
      <c r="K98" s="9">
        <f t="shared" si="24"/>
        <v>1996</v>
      </c>
      <c r="L98" s="1">
        <f t="shared" si="25"/>
        <v>15.331184984954623</v>
      </c>
      <c r="M98" s="1">
        <f t="shared" si="22"/>
        <v>101.19204225779684</v>
      </c>
      <c r="N98" s="1">
        <f t="shared" si="23"/>
        <v>19.340142071297716</v>
      </c>
    </row>
    <row r="99" spans="1:14" ht="12.75">
      <c r="A99" s="9">
        <v>1997</v>
      </c>
      <c r="B99">
        <v>371</v>
      </c>
      <c r="C99">
        <v>97</v>
      </c>
      <c r="D99">
        <v>468</v>
      </c>
      <c r="F99" s="9">
        <f t="shared" si="21"/>
        <v>1997</v>
      </c>
      <c r="G99" s="1">
        <f t="shared" si="21"/>
        <v>3075558</v>
      </c>
      <c r="H99" s="1">
        <f t="shared" si="21"/>
        <v>150906</v>
      </c>
      <c r="I99" s="1">
        <f t="shared" si="21"/>
        <v>3226464</v>
      </c>
      <c r="K99" s="9">
        <f t="shared" si="24"/>
        <v>1997</v>
      </c>
      <c r="L99" s="1">
        <f t="shared" si="25"/>
        <v>12.062851684149674</v>
      </c>
      <c r="M99" s="1">
        <f t="shared" si="22"/>
        <v>64.27842497978874</v>
      </c>
      <c r="N99" s="1">
        <f t="shared" si="23"/>
        <v>14.505043291975365</v>
      </c>
    </row>
    <row r="100" spans="1:14" ht="12.75">
      <c r="A100" s="9">
        <v>1998</v>
      </c>
      <c r="B100">
        <v>410</v>
      </c>
      <c r="C100">
        <v>84</v>
      </c>
      <c r="D100">
        <v>494</v>
      </c>
      <c r="F100" s="9">
        <f aca="true" t="shared" si="26" ref="F100:I101">F19</f>
        <v>1998</v>
      </c>
      <c r="G100" s="1">
        <f t="shared" si="26"/>
        <v>3122879</v>
      </c>
      <c r="H100" s="1">
        <f t="shared" si="26"/>
        <v>154615</v>
      </c>
      <c r="I100" s="1">
        <f t="shared" si="26"/>
        <v>3277494</v>
      </c>
      <c r="K100" s="9">
        <f t="shared" si="24"/>
        <v>1998</v>
      </c>
      <c r="L100" s="1">
        <f t="shared" si="25"/>
        <v>13.128910854375082</v>
      </c>
      <c r="M100" s="1">
        <f t="shared" si="22"/>
        <v>54.328493354461074</v>
      </c>
      <c r="N100" s="1">
        <f t="shared" si="23"/>
        <v>15.072491360777471</v>
      </c>
    </row>
    <row r="101" spans="1:14" ht="12.75">
      <c r="A101" s="9">
        <v>1999</v>
      </c>
      <c r="B101">
        <v>421</v>
      </c>
      <c r="C101">
        <v>88</v>
      </c>
      <c r="D101">
        <v>509</v>
      </c>
      <c r="F101" s="9">
        <f t="shared" si="26"/>
        <v>1999</v>
      </c>
      <c r="G101" s="1">
        <f t="shared" si="26"/>
        <v>3177332</v>
      </c>
      <c r="H101" s="1">
        <f t="shared" si="26"/>
        <v>157578</v>
      </c>
      <c r="I101" s="1">
        <f t="shared" si="26"/>
        <v>3334910</v>
      </c>
      <c r="K101" s="9">
        <f t="shared" si="24"/>
        <v>1999</v>
      </c>
      <c r="L101" s="1">
        <f t="shared" si="25"/>
        <v>13.250110470042161</v>
      </c>
      <c r="M101" s="1">
        <f t="shared" si="22"/>
        <v>55.84535912373555</v>
      </c>
      <c r="N101" s="1">
        <f t="shared" si="23"/>
        <v>15.262780704726666</v>
      </c>
    </row>
    <row r="103" spans="1:14" ht="31.5" customHeight="1">
      <c r="A103" s="31" t="str">
        <f>CONCATENATE("New Admissions for All Offenses, BW Only: ",$A$1)</f>
        <v>New Admissions for All Offenses, BW Only: COLORADO</v>
      </c>
      <c r="B103" s="31"/>
      <c r="C103" s="31"/>
      <c r="D103" s="31"/>
      <c r="F103" s="31" t="str">
        <f>CONCATENATE("Total Population, BW Only: ",$A$1)</f>
        <v>Total Population, BW Only: COLORADO</v>
      </c>
      <c r="G103" s="31"/>
      <c r="H103" s="31"/>
      <c r="I103" s="31"/>
      <c r="K103" s="31" t="str">
        <f>CONCATENATE("New Admissions for All Offenses, BW Only, Per 100,000: ",$A$1)</f>
        <v>New Admissions for All Offenses, BW Only, Per 100,000: COLORADO</v>
      </c>
      <c r="L103" s="31"/>
      <c r="M103" s="31"/>
      <c r="N103" s="31"/>
    </row>
    <row r="104" spans="1:14" ht="12.75">
      <c r="A104" s="24" t="s">
        <v>25</v>
      </c>
      <c r="B104" s="25" t="s">
        <v>11</v>
      </c>
      <c r="C104" s="25" t="s">
        <v>12</v>
      </c>
      <c r="D104" s="25" t="s">
        <v>13</v>
      </c>
      <c r="F104" s="24" t="s">
        <v>25</v>
      </c>
      <c r="G104" s="25" t="s">
        <v>11</v>
      </c>
      <c r="H104" s="25" t="s">
        <v>12</v>
      </c>
      <c r="I104" s="25" t="s">
        <v>13</v>
      </c>
      <c r="K104" s="24" t="s">
        <v>25</v>
      </c>
      <c r="L104" s="25" t="s">
        <v>11</v>
      </c>
      <c r="M104" s="25" t="s">
        <v>12</v>
      </c>
      <c r="N104" s="25" t="s">
        <v>13</v>
      </c>
    </row>
    <row r="105" spans="1:14" ht="12.75">
      <c r="A105" s="9">
        <v>1983</v>
      </c>
      <c r="B105">
        <v>916</v>
      </c>
      <c r="C105">
        <v>288</v>
      </c>
      <c r="D105">
        <v>1204</v>
      </c>
      <c r="E105" s="2"/>
      <c r="F105" s="9">
        <f>F4</f>
        <v>1983</v>
      </c>
      <c r="G105" s="1">
        <f>G4</f>
        <v>2581691</v>
      </c>
      <c r="H105" s="1">
        <f>H4</f>
        <v>114105</v>
      </c>
      <c r="I105" s="1">
        <f>I4</f>
        <v>2695796</v>
      </c>
      <c r="K105" s="9">
        <f>F105</f>
        <v>1983</v>
      </c>
      <c r="L105" s="1">
        <f>(B105/G105)*100000</f>
        <v>35.48062103481787</v>
      </c>
      <c r="M105" s="1">
        <f aca="true" t="shared" si="27" ref="M105:M121">(C105/H105)*100000</f>
        <v>252.3991060864993</v>
      </c>
      <c r="N105" s="1">
        <f aca="true" t="shared" si="28" ref="N105:N121">(D105/I105)*100000</f>
        <v>44.662133188119576</v>
      </c>
    </row>
    <row r="106" spans="1:14" ht="12.75">
      <c r="A106" s="9">
        <v>1984</v>
      </c>
      <c r="B106">
        <v>755</v>
      </c>
      <c r="C106">
        <v>220</v>
      </c>
      <c r="D106">
        <v>975</v>
      </c>
      <c r="F106" s="9">
        <f aca="true" t="shared" si="29" ref="F106:I121">F5</f>
        <v>1984</v>
      </c>
      <c r="G106" s="1">
        <f t="shared" si="29"/>
        <v>2604945</v>
      </c>
      <c r="H106" s="1">
        <f t="shared" si="29"/>
        <v>116754</v>
      </c>
      <c r="I106" s="1">
        <f t="shared" si="29"/>
        <v>2721699</v>
      </c>
      <c r="K106" s="9">
        <f aca="true" t="shared" si="30" ref="K106:K121">F106</f>
        <v>1984</v>
      </c>
      <c r="L106" s="1">
        <f aca="true" t="shared" si="31" ref="L106:L121">(B106/G106)*100000</f>
        <v>28.98333746009992</v>
      </c>
      <c r="M106" s="1">
        <f t="shared" si="27"/>
        <v>188.43037497644622</v>
      </c>
      <c r="N106" s="1">
        <f t="shared" si="28"/>
        <v>35.82321189815626</v>
      </c>
    </row>
    <row r="107" spans="1:14" ht="12.75">
      <c r="A107" s="9">
        <v>1985</v>
      </c>
      <c r="B107">
        <v>990</v>
      </c>
      <c r="C107">
        <v>316</v>
      </c>
      <c r="D107">
        <v>1306</v>
      </c>
      <c r="F107" s="9">
        <f t="shared" si="29"/>
        <v>1985</v>
      </c>
      <c r="G107" s="1">
        <f t="shared" si="29"/>
        <v>2629537</v>
      </c>
      <c r="H107" s="1">
        <f t="shared" si="29"/>
        <v>120330</v>
      </c>
      <c r="I107" s="1">
        <f t="shared" si="29"/>
        <v>2749867</v>
      </c>
      <c r="K107" s="9">
        <f t="shared" si="30"/>
        <v>1985</v>
      </c>
      <c r="L107" s="1">
        <f t="shared" si="31"/>
        <v>37.64921353074705</v>
      </c>
      <c r="M107" s="1">
        <f t="shared" si="27"/>
        <v>262.6111526635087</v>
      </c>
      <c r="N107" s="1">
        <f t="shared" si="28"/>
        <v>47.493206035055515</v>
      </c>
    </row>
    <row r="108" spans="1:14" ht="12.75">
      <c r="A108" s="9">
        <v>1986</v>
      </c>
      <c r="B108">
        <v>1104</v>
      </c>
      <c r="C108">
        <v>389</v>
      </c>
      <c r="D108">
        <v>1493</v>
      </c>
      <c r="F108" s="9">
        <f t="shared" si="29"/>
        <v>1986</v>
      </c>
      <c r="G108" s="1">
        <f t="shared" si="29"/>
        <v>2646030</v>
      </c>
      <c r="H108" s="1">
        <f t="shared" si="29"/>
        <v>122893</v>
      </c>
      <c r="I108" s="1">
        <f t="shared" si="29"/>
        <v>2768923</v>
      </c>
      <c r="K108" s="9">
        <f t="shared" si="30"/>
        <v>1986</v>
      </c>
      <c r="L108" s="1">
        <f t="shared" si="31"/>
        <v>41.72288296051065</v>
      </c>
      <c r="M108" s="1">
        <f t="shared" si="27"/>
        <v>316.5355227718422</v>
      </c>
      <c r="N108" s="1">
        <f t="shared" si="28"/>
        <v>53.919881484606115</v>
      </c>
    </row>
    <row r="109" spans="1:14" ht="12.75">
      <c r="A109" s="9">
        <v>1987</v>
      </c>
      <c r="B109">
        <v>1233</v>
      </c>
      <c r="C109">
        <v>456</v>
      </c>
      <c r="D109">
        <v>1689</v>
      </c>
      <c r="F109" s="9">
        <f t="shared" si="29"/>
        <v>1987</v>
      </c>
      <c r="G109" s="1">
        <f t="shared" si="29"/>
        <v>2656720</v>
      </c>
      <c r="H109" s="1">
        <f t="shared" si="29"/>
        <v>125103</v>
      </c>
      <c r="I109" s="1">
        <f t="shared" si="29"/>
        <v>2781823</v>
      </c>
      <c r="K109" s="9">
        <f t="shared" si="30"/>
        <v>1987</v>
      </c>
      <c r="L109" s="1">
        <f t="shared" si="31"/>
        <v>46.41061158119787</v>
      </c>
      <c r="M109" s="1">
        <f t="shared" si="27"/>
        <v>364.49965228651587</v>
      </c>
      <c r="N109" s="1">
        <f t="shared" si="28"/>
        <v>60.715581113535976</v>
      </c>
    </row>
    <row r="110" spans="1:14" ht="12.75">
      <c r="A110" s="9">
        <v>1988</v>
      </c>
      <c r="B110">
        <v>1062</v>
      </c>
      <c r="C110">
        <v>447</v>
      </c>
      <c r="D110">
        <v>1509</v>
      </c>
      <c r="F110" s="9">
        <f t="shared" si="29"/>
        <v>1988</v>
      </c>
      <c r="G110" s="1">
        <f t="shared" si="29"/>
        <v>2650229</v>
      </c>
      <c r="H110" s="1">
        <f t="shared" si="29"/>
        <v>125790</v>
      </c>
      <c r="I110" s="1">
        <f t="shared" si="29"/>
        <v>2776019</v>
      </c>
      <c r="K110" s="9">
        <f t="shared" si="30"/>
        <v>1988</v>
      </c>
      <c r="L110" s="1">
        <f t="shared" si="31"/>
        <v>40.07200887168619</v>
      </c>
      <c r="M110" s="1">
        <f t="shared" si="27"/>
        <v>355.3541616980682</v>
      </c>
      <c r="N110" s="1">
        <f t="shared" si="28"/>
        <v>54.35841757567222</v>
      </c>
    </row>
    <row r="111" spans="1:14" ht="12.75">
      <c r="A111" s="9">
        <v>1989</v>
      </c>
      <c r="B111">
        <v>1354</v>
      </c>
      <c r="C111">
        <v>646</v>
      </c>
      <c r="D111">
        <v>2000</v>
      </c>
      <c r="F111" s="9">
        <f t="shared" si="29"/>
        <v>1989</v>
      </c>
      <c r="G111" s="1">
        <f t="shared" si="29"/>
        <v>2653612</v>
      </c>
      <c r="H111" s="1">
        <f t="shared" si="29"/>
        <v>127183</v>
      </c>
      <c r="I111" s="1">
        <f t="shared" si="29"/>
        <v>2780795</v>
      </c>
      <c r="K111" s="9">
        <f t="shared" si="30"/>
        <v>1989</v>
      </c>
      <c r="L111" s="1">
        <f t="shared" si="31"/>
        <v>51.02479186859269</v>
      </c>
      <c r="M111" s="1">
        <f t="shared" si="27"/>
        <v>507.9295188822406</v>
      </c>
      <c r="N111" s="1">
        <f t="shared" si="28"/>
        <v>71.9218784556215</v>
      </c>
    </row>
    <row r="112" spans="1:14" ht="12.75">
      <c r="A112" s="9">
        <v>1990</v>
      </c>
      <c r="B112">
        <v>1161</v>
      </c>
      <c r="C112">
        <v>502</v>
      </c>
      <c r="D112">
        <v>1663</v>
      </c>
      <c r="F112" s="9">
        <f t="shared" si="29"/>
        <v>1990</v>
      </c>
      <c r="G112" s="1">
        <f t="shared" si="29"/>
        <v>2666442</v>
      </c>
      <c r="H112" s="1">
        <f t="shared" si="29"/>
        <v>129089</v>
      </c>
      <c r="I112" s="1">
        <f t="shared" si="29"/>
        <v>2795531</v>
      </c>
      <c r="K112" s="9">
        <f t="shared" si="30"/>
        <v>1990</v>
      </c>
      <c r="L112" s="1">
        <f t="shared" si="31"/>
        <v>43.541168343432936</v>
      </c>
      <c r="M112" s="1">
        <f t="shared" si="27"/>
        <v>388.87899046394347</v>
      </c>
      <c r="N112" s="1">
        <f t="shared" si="28"/>
        <v>59.48780392705357</v>
      </c>
    </row>
    <row r="113" spans="1:14" ht="12.75">
      <c r="A113" s="9">
        <v>1991</v>
      </c>
      <c r="B113">
        <v>1161</v>
      </c>
      <c r="C113">
        <v>556</v>
      </c>
      <c r="D113">
        <v>1717</v>
      </c>
      <c r="F113" s="9">
        <f t="shared" si="29"/>
        <v>1991</v>
      </c>
      <c r="G113" s="1">
        <f t="shared" si="29"/>
        <v>2711730</v>
      </c>
      <c r="H113" s="1">
        <f t="shared" si="29"/>
        <v>132939</v>
      </c>
      <c r="I113" s="1">
        <f t="shared" si="29"/>
        <v>2844669</v>
      </c>
      <c r="K113" s="9">
        <f t="shared" si="30"/>
        <v>1991</v>
      </c>
      <c r="L113" s="1">
        <f t="shared" si="31"/>
        <v>42.81399696872476</v>
      </c>
      <c r="M113" s="1">
        <f t="shared" si="27"/>
        <v>418.2369357374435</v>
      </c>
      <c r="N113" s="1">
        <f t="shared" si="28"/>
        <v>60.358516228074336</v>
      </c>
    </row>
    <row r="114" spans="1:14" ht="12.75">
      <c r="A114" s="9">
        <v>1992</v>
      </c>
      <c r="B114">
        <v>1364</v>
      </c>
      <c r="C114">
        <v>639</v>
      </c>
      <c r="D114">
        <v>2003</v>
      </c>
      <c r="F114" s="9">
        <f t="shared" si="29"/>
        <v>1992</v>
      </c>
      <c r="G114" s="1">
        <f t="shared" si="29"/>
        <v>2779309</v>
      </c>
      <c r="H114" s="1">
        <f t="shared" si="29"/>
        <v>136991</v>
      </c>
      <c r="I114" s="1">
        <f t="shared" si="29"/>
        <v>2916300</v>
      </c>
      <c r="K114" s="9">
        <f t="shared" si="30"/>
        <v>1992</v>
      </c>
      <c r="L114" s="1">
        <f t="shared" si="31"/>
        <v>49.07694682383283</v>
      </c>
      <c r="M114" s="1">
        <f t="shared" si="27"/>
        <v>466.4540006277785</v>
      </c>
      <c r="N114" s="1">
        <f t="shared" si="28"/>
        <v>68.6829201385317</v>
      </c>
    </row>
    <row r="115" spans="1:14" ht="12.75">
      <c r="A115" s="9">
        <v>1993</v>
      </c>
      <c r="B115">
        <v>1354</v>
      </c>
      <c r="C115">
        <v>700</v>
      </c>
      <c r="D115">
        <v>2054</v>
      </c>
      <c r="F115" s="9">
        <f t="shared" si="29"/>
        <v>1993</v>
      </c>
      <c r="G115" s="1">
        <f t="shared" si="29"/>
        <v>2851608</v>
      </c>
      <c r="H115" s="1">
        <f t="shared" si="29"/>
        <v>141047</v>
      </c>
      <c r="I115" s="1">
        <f t="shared" si="29"/>
        <v>2992655</v>
      </c>
      <c r="K115" s="9">
        <f t="shared" si="30"/>
        <v>1993</v>
      </c>
      <c r="L115" s="1">
        <f t="shared" si="31"/>
        <v>47.48198209571582</v>
      </c>
      <c r="M115" s="1">
        <f t="shared" si="27"/>
        <v>496.2884712188136</v>
      </c>
      <c r="N115" s="1">
        <f t="shared" si="28"/>
        <v>68.63470730839337</v>
      </c>
    </row>
    <row r="116" spans="1:14" ht="12.75">
      <c r="A116" s="9">
        <v>1994</v>
      </c>
      <c r="B116">
        <v>1297</v>
      </c>
      <c r="C116">
        <v>745</v>
      </c>
      <c r="D116">
        <v>2042</v>
      </c>
      <c r="F116" s="9">
        <f t="shared" si="29"/>
        <v>1994</v>
      </c>
      <c r="G116" s="1">
        <f t="shared" si="29"/>
        <v>2919546</v>
      </c>
      <c r="H116" s="1">
        <f t="shared" si="29"/>
        <v>144157</v>
      </c>
      <c r="I116" s="1">
        <f t="shared" si="29"/>
        <v>3063703</v>
      </c>
      <c r="K116" s="9">
        <f t="shared" si="30"/>
        <v>1994</v>
      </c>
      <c r="L116" s="1">
        <f t="shared" si="31"/>
        <v>44.42471534957832</v>
      </c>
      <c r="M116" s="1">
        <f t="shared" si="27"/>
        <v>516.7976581088674</v>
      </c>
      <c r="N116" s="1">
        <f t="shared" si="28"/>
        <v>66.65136927437156</v>
      </c>
    </row>
    <row r="117" spans="1:14" ht="12.75">
      <c r="A117" s="9">
        <v>1995</v>
      </c>
      <c r="B117">
        <v>1452</v>
      </c>
      <c r="C117">
        <v>850</v>
      </c>
      <c r="D117">
        <v>2302</v>
      </c>
      <c r="F117" s="9">
        <f t="shared" si="29"/>
        <v>1995</v>
      </c>
      <c r="G117" s="1">
        <f t="shared" si="29"/>
        <v>2977692</v>
      </c>
      <c r="H117" s="1">
        <f t="shared" si="29"/>
        <v>146048</v>
      </c>
      <c r="I117" s="1">
        <f t="shared" si="29"/>
        <v>3123740</v>
      </c>
      <c r="K117" s="9">
        <f t="shared" si="30"/>
        <v>1995</v>
      </c>
      <c r="L117" s="1">
        <f t="shared" si="31"/>
        <v>48.76259868381283</v>
      </c>
      <c r="M117" s="1">
        <f t="shared" si="27"/>
        <v>582.0004382120947</v>
      </c>
      <c r="N117" s="1">
        <f t="shared" si="28"/>
        <v>73.69371330520465</v>
      </c>
    </row>
    <row r="118" spans="1:14" ht="12.75">
      <c r="A118" s="9">
        <v>1996</v>
      </c>
      <c r="B118">
        <v>1681</v>
      </c>
      <c r="C118">
        <v>859</v>
      </c>
      <c r="D118">
        <v>2540</v>
      </c>
      <c r="F118" s="9">
        <f t="shared" si="29"/>
        <v>1996</v>
      </c>
      <c r="G118" s="1">
        <f t="shared" si="29"/>
        <v>3026511</v>
      </c>
      <c r="H118" s="1">
        <f t="shared" si="29"/>
        <v>148233</v>
      </c>
      <c r="I118" s="1">
        <f t="shared" si="29"/>
        <v>3174744</v>
      </c>
      <c r="K118" s="9">
        <f t="shared" si="30"/>
        <v>1996</v>
      </c>
      <c r="L118" s="1">
        <f t="shared" si="31"/>
        <v>55.54250422351017</v>
      </c>
      <c r="M118" s="1">
        <f t="shared" si="27"/>
        <v>579.4930953296499</v>
      </c>
      <c r="N118" s="1">
        <f t="shared" si="28"/>
        <v>80.00645091383747</v>
      </c>
    </row>
    <row r="119" spans="1:14" ht="12.75">
      <c r="A119" s="9">
        <v>1997</v>
      </c>
      <c r="B119">
        <v>1713</v>
      </c>
      <c r="C119">
        <v>874</v>
      </c>
      <c r="D119">
        <v>2587</v>
      </c>
      <c r="F119" s="9">
        <f t="shared" si="29"/>
        <v>1997</v>
      </c>
      <c r="G119" s="1">
        <f t="shared" si="29"/>
        <v>3075558</v>
      </c>
      <c r="H119" s="1">
        <f t="shared" si="29"/>
        <v>150906</v>
      </c>
      <c r="I119" s="1">
        <f t="shared" si="29"/>
        <v>3226464</v>
      </c>
      <c r="K119" s="9">
        <f t="shared" si="30"/>
        <v>1997</v>
      </c>
      <c r="L119" s="1">
        <f t="shared" si="31"/>
        <v>55.69721006724633</v>
      </c>
      <c r="M119" s="1">
        <f t="shared" si="27"/>
        <v>579.168488993148</v>
      </c>
      <c r="N119" s="1">
        <f t="shared" si="28"/>
        <v>80.18065597508604</v>
      </c>
    </row>
    <row r="120" spans="1:14" ht="12.75">
      <c r="A120" s="9">
        <v>1998</v>
      </c>
      <c r="B120">
        <v>1971</v>
      </c>
      <c r="C120">
        <v>801</v>
      </c>
      <c r="D120">
        <v>2772</v>
      </c>
      <c r="F120" s="9">
        <f t="shared" si="29"/>
        <v>1998</v>
      </c>
      <c r="G120" s="1">
        <f t="shared" si="29"/>
        <v>3122879</v>
      </c>
      <c r="H120" s="1">
        <f t="shared" si="29"/>
        <v>154615</v>
      </c>
      <c r="I120" s="1">
        <f t="shared" si="29"/>
        <v>3277494</v>
      </c>
      <c r="K120" s="9">
        <f t="shared" si="30"/>
        <v>1998</v>
      </c>
      <c r="L120" s="1">
        <f t="shared" si="31"/>
        <v>63.114837302373864</v>
      </c>
      <c r="M120" s="1">
        <f t="shared" si="27"/>
        <v>518.0609902014681</v>
      </c>
      <c r="N120" s="1">
        <f t="shared" si="28"/>
        <v>84.57681387059748</v>
      </c>
    </row>
    <row r="121" spans="1:14" ht="12.75">
      <c r="A121" s="9">
        <v>1999</v>
      </c>
      <c r="B121">
        <v>1780</v>
      </c>
      <c r="C121">
        <v>711</v>
      </c>
      <c r="D121">
        <v>2491</v>
      </c>
      <c r="F121" s="9">
        <f t="shared" si="29"/>
        <v>1999</v>
      </c>
      <c r="G121" s="1">
        <f t="shared" si="29"/>
        <v>3177332</v>
      </c>
      <c r="H121" s="1">
        <f t="shared" si="29"/>
        <v>157578</v>
      </c>
      <c r="I121" s="1">
        <f t="shared" si="29"/>
        <v>3334910</v>
      </c>
      <c r="K121" s="9">
        <f t="shared" si="30"/>
        <v>1999</v>
      </c>
      <c r="L121" s="1">
        <f t="shared" si="31"/>
        <v>56.021844742696075</v>
      </c>
      <c r="M121" s="1">
        <f t="shared" si="27"/>
        <v>451.2051174656361</v>
      </c>
      <c r="N121" s="1">
        <f t="shared" si="28"/>
        <v>74.6946694213637</v>
      </c>
    </row>
    <row r="124" spans="6:11" ht="12.75">
      <c r="F124" s="4"/>
      <c r="K124" s="4"/>
    </row>
  </sheetData>
  <mergeCells count="18">
    <mergeCell ref="A2:D2"/>
    <mergeCell ref="A22:D22"/>
    <mergeCell ref="A42:D42"/>
    <mergeCell ref="A63:D63"/>
    <mergeCell ref="A83:D83"/>
    <mergeCell ref="A103:D103"/>
    <mergeCell ref="K2:N2"/>
    <mergeCell ref="K22:N22"/>
    <mergeCell ref="K42:N42"/>
    <mergeCell ref="K63:N63"/>
    <mergeCell ref="K83:N83"/>
    <mergeCell ref="K103:N103"/>
    <mergeCell ref="F2:I2"/>
    <mergeCell ref="F22:I22"/>
    <mergeCell ref="F42:I42"/>
    <mergeCell ref="F63:I63"/>
    <mergeCell ref="F83:I83"/>
    <mergeCell ref="F103:I10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90"/>
  <sheetViews>
    <sheetView zoomScale="50" zoomScaleNormal="50" workbookViewId="0" topLeftCell="A88">
      <selection activeCell="AH147" sqref="AH147"/>
    </sheetView>
  </sheetViews>
  <sheetFormatPr defaultColWidth="9.140625" defaultRowHeight="12.75"/>
  <cols>
    <col min="1" max="1" width="19.421875" style="4" customWidth="1"/>
    <col min="2" max="7" width="10.57421875" style="0" customWidth="1"/>
    <col min="8" max="8" width="5.7109375" style="29" customWidth="1"/>
    <col min="9" max="9" width="19.421875" style="0" bestFit="1" customWidth="1"/>
    <col min="10" max="15" width="10.57421875" style="0" customWidth="1"/>
    <col min="16" max="16" width="6.00390625" style="29" customWidth="1"/>
    <col min="17" max="17" width="19.421875" style="0" bestFit="1" customWidth="1"/>
    <col min="18" max="21" width="10.57421875" style="0" customWidth="1"/>
    <col min="22" max="22" width="11.00390625" style="0" customWidth="1"/>
    <col min="23" max="23" width="10.57421875" style="0" customWidth="1"/>
    <col min="24" max="24" width="5.7109375" style="29" customWidth="1"/>
    <col min="25" max="25" width="19.421875" style="0" bestFit="1" customWidth="1"/>
    <col min="26" max="31" width="10.57421875" style="0" customWidth="1"/>
    <col min="32" max="32" width="9.140625" style="29" customWidth="1"/>
    <col min="33" max="33" width="19.421875" style="0" bestFit="1" customWidth="1"/>
    <col min="34" max="39" width="10.57421875" style="0" customWidth="1"/>
    <col min="40" max="40" width="9.140625" style="29" customWidth="1"/>
    <col min="41" max="41" width="19.421875" style="0" bestFit="1" customWidth="1"/>
    <col min="42" max="47" width="10.57421875" style="0" customWidth="1"/>
  </cols>
  <sheetData>
    <row r="1" spans="1:47" ht="12.75">
      <c r="A1" s="4" t="s">
        <v>38</v>
      </c>
      <c r="B1" s="30" t="s">
        <v>3</v>
      </c>
      <c r="C1" s="30"/>
      <c r="D1" s="30"/>
      <c r="E1" s="30"/>
      <c r="F1" s="30"/>
      <c r="G1" s="30"/>
      <c r="J1" s="30" t="s">
        <v>3</v>
      </c>
      <c r="K1" s="30"/>
      <c r="L1" s="30"/>
      <c r="M1" s="30"/>
      <c r="N1" s="30"/>
      <c r="O1" s="30"/>
      <c r="R1" s="30" t="s">
        <v>3</v>
      </c>
      <c r="S1" s="30"/>
      <c r="T1" s="30"/>
      <c r="U1" s="30"/>
      <c r="V1" s="30"/>
      <c r="W1" s="30"/>
      <c r="Z1" s="30" t="s">
        <v>3</v>
      </c>
      <c r="AA1" s="30"/>
      <c r="AB1" s="30"/>
      <c r="AC1" s="30"/>
      <c r="AD1" s="30"/>
      <c r="AE1" s="30"/>
      <c r="AH1" s="30" t="s">
        <v>3</v>
      </c>
      <c r="AI1" s="30"/>
      <c r="AJ1" s="30"/>
      <c r="AK1" s="30"/>
      <c r="AL1" s="30"/>
      <c r="AM1" s="30"/>
      <c r="AP1" s="30" t="s">
        <v>3</v>
      </c>
      <c r="AQ1" s="30"/>
      <c r="AR1" s="30"/>
      <c r="AS1" s="30"/>
      <c r="AT1" s="30"/>
      <c r="AU1" s="30"/>
    </row>
    <row r="2" spans="2:47" ht="12.75">
      <c r="B2" s="30" t="str">
        <f>CONCATENATE("White, Non-Hispanics:  ",$A$1)</f>
        <v>White, Non-Hispanics:  COLORADO</v>
      </c>
      <c r="C2" s="30"/>
      <c r="D2" s="30"/>
      <c r="E2" s="30"/>
      <c r="F2" s="30"/>
      <c r="G2" s="30"/>
      <c r="J2" s="30" t="str">
        <f>CONCATENATE("Black, Non-Hispanics:  ",$A$1)</f>
        <v>Black, Non-Hispanics:  COLORADO</v>
      </c>
      <c r="K2" s="30"/>
      <c r="L2" s="30"/>
      <c r="M2" s="30"/>
      <c r="N2" s="30"/>
      <c r="O2" s="30"/>
      <c r="R2" s="30" t="str">
        <f>CONCATENATE("American Indian, Non-Hispanics:  ",$A$1)</f>
        <v>American Indian, Non-Hispanics:  COLORADO</v>
      </c>
      <c r="S2" s="30"/>
      <c r="T2" s="30"/>
      <c r="U2" s="30"/>
      <c r="V2" s="30"/>
      <c r="W2" s="30"/>
      <c r="Z2" s="30" t="str">
        <f>CONCATENATE("Asian / Pacific Islanders, Non-Hispanics:  ",$A$1)</f>
        <v>Asian / Pacific Islanders, Non-Hispanics:  COLORADO</v>
      </c>
      <c r="AA2" s="30"/>
      <c r="AB2" s="30"/>
      <c r="AC2" s="30"/>
      <c r="AD2" s="30"/>
      <c r="AE2" s="30"/>
      <c r="AH2" s="30" t="str">
        <f>CONCATENATE("Hispanics:  ",$A$1)</f>
        <v>Hispanics:  COLORADO</v>
      </c>
      <c r="AI2" s="30"/>
      <c r="AJ2" s="30"/>
      <c r="AK2" s="30"/>
      <c r="AL2" s="30"/>
      <c r="AM2" s="30"/>
      <c r="AP2" s="30" t="str">
        <f>CONCATENATE("Other Race / Not Known:  ",$A$1)</f>
        <v>Other Race / Not Known:  COLORADO</v>
      </c>
      <c r="AQ2" s="30"/>
      <c r="AR2" s="30"/>
      <c r="AS2" s="30"/>
      <c r="AT2" s="30"/>
      <c r="AU2" s="30"/>
    </row>
    <row r="3" spans="1:47" ht="12.75">
      <c r="A3" s="4" t="s">
        <v>7</v>
      </c>
      <c r="B3" s="12" t="s">
        <v>0</v>
      </c>
      <c r="C3" s="12" t="s">
        <v>5</v>
      </c>
      <c r="D3" s="12" t="s">
        <v>6</v>
      </c>
      <c r="E3" s="12" t="s">
        <v>1</v>
      </c>
      <c r="F3" s="12" t="s">
        <v>4</v>
      </c>
      <c r="G3" s="12" t="s">
        <v>13</v>
      </c>
      <c r="I3" s="4" t="s">
        <v>24</v>
      </c>
      <c r="J3" s="12" t="s">
        <v>0</v>
      </c>
      <c r="K3" s="12" t="s">
        <v>5</v>
      </c>
      <c r="L3" s="12" t="s">
        <v>6</v>
      </c>
      <c r="M3" s="12" t="s">
        <v>1</v>
      </c>
      <c r="N3" s="12" t="s">
        <v>4</v>
      </c>
      <c r="O3" s="12" t="s">
        <v>13</v>
      </c>
      <c r="Q3" s="4" t="s">
        <v>24</v>
      </c>
      <c r="R3" s="12" t="s">
        <v>0</v>
      </c>
      <c r="S3" s="12" t="s">
        <v>5</v>
      </c>
      <c r="T3" s="12" t="s">
        <v>6</v>
      </c>
      <c r="U3" s="12" t="s">
        <v>1</v>
      </c>
      <c r="V3" s="12" t="s">
        <v>4</v>
      </c>
      <c r="W3" s="12" t="s">
        <v>13</v>
      </c>
      <c r="Y3" s="4" t="s">
        <v>24</v>
      </c>
      <c r="Z3" s="12" t="s">
        <v>0</v>
      </c>
      <c r="AA3" s="12" t="s">
        <v>5</v>
      </c>
      <c r="AB3" s="12" t="s">
        <v>6</v>
      </c>
      <c r="AC3" s="12" t="s">
        <v>1</v>
      </c>
      <c r="AD3" s="12" t="s">
        <v>4</v>
      </c>
      <c r="AE3" s="12" t="s">
        <v>13</v>
      </c>
      <c r="AG3" s="4" t="s">
        <v>24</v>
      </c>
      <c r="AH3" s="12" t="s">
        <v>0</v>
      </c>
      <c r="AI3" s="12" t="s">
        <v>5</v>
      </c>
      <c r="AJ3" s="12" t="s">
        <v>6</v>
      </c>
      <c r="AK3" s="12" t="s">
        <v>1</v>
      </c>
      <c r="AL3" s="12" t="s">
        <v>4</v>
      </c>
      <c r="AM3" s="12" t="s">
        <v>13</v>
      </c>
      <c r="AO3" s="4" t="s">
        <v>24</v>
      </c>
      <c r="AP3" s="12" t="s">
        <v>0</v>
      </c>
      <c r="AQ3" s="12" t="s">
        <v>5</v>
      </c>
      <c r="AR3" s="12" t="s">
        <v>6</v>
      </c>
      <c r="AS3" s="12" t="s">
        <v>1</v>
      </c>
      <c r="AT3" s="12" t="s">
        <v>4</v>
      </c>
      <c r="AU3" s="12" t="s">
        <v>13</v>
      </c>
    </row>
    <row r="4" spans="1:47" ht="12.75">
      <c r="A4" s="4">
        <v>1983</v>
      </c>
      <c r="B4">
        <v>277</v>
      </c>
      <c r="C4">
        <v>286</v>
      </c>
      <c r="D4">
        <v>155</v>
      </c>
      <c r="E4">
        <v>52</v>
      </c>
      <c r="F4">
        <v>146</v>
      </c>
      <c r="G4">
        <f>SUM(B4:F4)</f>
        <v>916</v>
      </c>
      <c r="I4" s="4">
        <v>1983</v>
      </c>
      <c r="J4">
        <v>90</v>
      </c>
      <c r="K4">
        <v>77</v>
      </c>
      <c r="L4">
        <v>52</v>
      </c>
      <c r="M4">
        <v>13</v>
      </c>
      <c r="N4">
        <v>56</v>
      </c>
      <c r="O4">
        <f>SUM(J4:N4)</f>
        <v>288</v>
      </c>
      <c r="Q4" s="4">
        <v>1983</v>
      </c>
      <c r="R4">
        <v>5</v>
      </c>
      <c r="S4">
        <v>7</v>
      </c>
      <c r="T4">
        <v>1</v>
      </c>
      <c r="V4">
        <v>4</v>
      </c>
      <c r="W4">
        <f>SUM(R4:V4)</f>
        <v>17</v>
      </c>
      <c r="Y4" s="4">
        <v>1983</v>
      </c>
      <c r="Z4">
        <v>1</v>
      </c>
      <c r="AA4">
        <v>3</v>
      </c>
      <c r="AE4">
        <f>SUM(Z4:AD4)</f>
        <v>4</v>
      </c>
      <c r="AG4" s="4">
        <v>1983</v>
      </c>
      <c r="AH4">
        <v>136</v>
      </c>
      <c r="AI4">
        <v>117</v>
      </c>
      <c r="AJ4">
        <v>52</v>
      </c>
      <c r="AK4">
        <v>14</v>
      </c>
      <c r="AL4">
        <v>71</v>
      </c>
      <c r="AM4">
        <f>SUM(AH4:AL4)</f>
        <v>390</v>
      </c>
      <c r="AO4" s="4">
        <v>1983</v>
      </c>
      <c r="AU4">
        <f>SUM(AP4:AT4)</f>
        <v>0</v>
      </c>
    </row>
    <row r="5" spans="1:47" ht="12.75">
      <c r="A5" s="4">
        <v>1984</v>
      </c>
      <c r="B5">
        <v>198</v>
      </c>
      <c r="C5">
        <v>229</v>
      </c>
      <c r="D5">
        <v>173</v>
      </c>
      <c r="E5">
        <v>33</v>
      </c>
      <c r="F5">
        <v>122</v>
      </c>
      <c r="G5">
        <f aca="true" t="shared" si="0" ref="G5:G20">SUM(B5:F5)</f>
        <v>755</v>
      </c>
      <c r="I5" s="4">
        <v>1984</v>
      </c>
      <c r="J5">
        <v>49</v>
      </c>
      <c r="K5">
        <v>75</v>
      </c>
      <c r="L5">
        <v>41</v>
      </c>
      <c r="M5">
        <v>13</v>
      </c>
      <c r="N5">
        <v>42</v>
      </c>
      <c r="O5">
        <f aca="true" t="shared" si="1" ref="O5:O20">SUM(J5:N5)</f>
        <v>220</v>
      </c>
      <c r="Q5" s="4">
        <v>1984</v>
      </c>
      <c r="R5">
        <v>5</v>
      </c>
      <c r="S5">
        <v>7</v>
      </c>
      <c r="T5">
        <v>2</v>
      </c>
      <c r="V5">
        <v>2</v>
      </c>
      <c r="W5">
        <f aca="true" t="shared" si="2" ref="W5:W20">SUM(R5:V5)</f>
        <v>16</v>
      </c>
      <c r="Y5" s="4">
        <v>1984</v>
      </c>
      <c r="Z5">
        <v>3</v>
      </c>
      <c r="AA5">
        <v>1</v>
      </c>
      <c r="AB5">
        <v>1</v>
      </c>
      <c r="AE5">
        <f aca="true" t="shared" si="3" ref="AE5:AE20">SUM(Z5:AD5)</f>
        <v>5</v>
      </c>
      <c r="AG5" s="4">
        <v>1984</v>
      </c>
      <c r="AH5">
        <v>98</v>
      </c>
      <c r="AI5">
        <v>89</v>
      </c>
      <c r="AJ5">
        <v>32</v>
      </c>
      <c r="AK5">
        <v>14</v>
      </c>
      <c r="AL5">
        <v>50</v>
      </c>
      <c r="AM5">
        <f aca="true" t="shared" si="4" ref="AM5:AM20">SUM(AH5:AL5)</f>
        <v>283</v>
      </c>
      <c r="AO5" s="4">
        <v>1984</v>
      </c>
      <c r="AU5">
        <f aca="true" t="shared" si="5" ref="AU5:AU20">SUM(AP5:AT5)</f>
        <v>0</v>
      </c>
    </row>
    <row r="6" spans="1:47" ht="12.75">
      <c r="A6" s="4">
        <v>1985</v>
      </c>
      <c r="B6">
        <v>259</v>
      </c>
      <c r="C6">
        <v>253</v>
      </c>
      <c r="D6">
        <v>223</v>
      </c>
      <c r="E6">
        <v>69</v>
      </c>
      <c r="F6">
        <v>186</v>
      </c>
      <c r="G6">
        <f t="shared" si="0"/>
        <v>990</v>
      </c>
      <c r="I6" s="4">
        <v>1985</v>
      </c>
      <c r="J6">
        <v>98</v>
      </c>
      <c r="K6">
        <v>77</v>
      </c>
      <c r="L6">
        <v>59</v>
      </c>
      <c r="M6">
        <v>16</v>
      </c>
      <c r="N6">
        <v>66</v>
      </c>
      <c r="O6">
        <f t="shared" si="1"/>
        <v>316</v>
      </c>
      <c r="Q6" s="4">
        <v>1985</v>
      </c>
      <c r="R6">
        <v>7</v>
      </c>
      <c r="S6">
        <v>8</v>
      </c>
      <c r="T6">
        <v>1</v>
      </c>
      <c r="U6">
        <v>1</v>
      </c>
      <c r="V6">
        <v>5</v>
      </c>
      <c r="W6">
        <f t="shared" si="2"/>
        <v>22</v>
      </c>
      <c r="Y6" s="4">
        <v>1985</v>
      </c>
      <c r="Z6">
        <v>4</v>
      </c>
      <c r="AA6">
        <v>3</v>
      </c>
      <c r="AB6">
        <v>1</v>
      </c>
      <c r="AE6">
        <f t="shared" si="3"/>
        <v>8</v>
      </c>
      <c r="AG6" s="4">
        <v>1985</v>
      </c>
      <c r="AH6">
        <v>111</v>
      </c>
      <c r="AI6">
        <v>117</v>
      </c>
      <c r="AJ6">
        <v>68</v>
      </c>
      <c r="AK6">
        <v>21</v>
      </c>
      <c r="AL6">
        <v>86</v>
      </c>
      <c r="AM6">
        <f t="shared" si="4"/>
        <v>403</v>
      </c>
      <c r="AO6" s="4">
        <v>1985</v>
      </c>
      <c r="AU6">
        <f t="shared" si="5"/>
        <v>0</v>
      </c>
    </row>
    <row r="7" spans="1:47" ht="12.75">
      <c r="A7" s="4">
        <v>1986</v>
      </c>
      <c r="B7">
        <v>319</v>
      </c>
      <c r="C7">
        <v>250</v>
      </c>
      <c r="D7">
        <v>230</v>
      </c>
      <c r="E7">
        <v>85</v>
      </c>
      <c r="F7">
        <v>220</v>
      </c>
      <c r="G7">
        <f t="shared" si="0"/>
        <v>1104</v>
      </c>
      <c r="I7" s="4">
        <v>1986</v>
      </c>
      <c r="J7">
        <v>88</v>
      </c>
      <c r="K7">
        <v>116</v>
      </c>
      <c r="L7">
        <v>81</v>
      </c>
      <c r="M7">
        <v>20</v>
      </c>
      <c r="N7">
        <v>84</v>
      </c>
      <c r="O7">
        <f t="shared" si="1"/>
        <v>389</v>
      </c>
      <c r="Q7" s="4">
        <v>1986</v>
      </c>
      <c r="R7">
        <v>4</v>
      </c>
      <c r="S7">
        <v>9</v>
      </c>
      <c r="T7">
        <v>2</v>
      </c>
      <c r="U7">
        <v>2</v>
      </c>
      <c r="V7">
        <v>1</v>
      </c>
      <c r="W7">
        <f t="shared" si="2"/>
        <v>18</v>
      </c>
      <c r="Y7" s="4">
        <v>1986</v>
      </c>
      <c r="Z7">
        <v>1</v>
      </c>
      <c r="AA7">
        <v>1</v>
      </c>
      <c r="AC7">
        <v>1</v>
      </c>
      <c r="AE7">
        <f t="shared" si="3"/>
        <v>3</v>
      </c>
      <c r="AG7" s="4">
        <v>1986</v>
      </c>
      <c r="AH7">
        <v>130</v>
      </c>
      <c r="AI7">
        <v>136</v>
      </c>
      <c r="AJ7">
        <v>53</v>
      </c>
      <c r="AK7">
        <v>24</v>
      </c>
      <c r="AL7">
        <v>108</v>
      </c>
      <c r="AM7">
        <f t="shared" si="4"/>
        <v>451</v>
      </c>
      <c r="AO7" s="4">
        <v>1986</v>
      </c>
      <c r="AU7">
        <f t="shared" si="5"/>
        <v>0</v>
      </c>
    </row>
    <row r="8" spans="1:47" ht="12.75">
      <c r="A8" s="4">
        <v>1987</v>
      </c>
      <c r="B8">
        <v>316</v>
      </c>
      <c r="C8">
        <v>290</v>
      </c>
      <c r="D8">
        <v>249</v>
      </c>
      <c r="E8">
        <v>110</v>
      </c>
      <c r="F8">
        <v>268</v>
      </c>
      <c r="G8">
        <f t="shared" si="0"/>
        <v>1233</v>
      </c>
      <c r="I8" s="4">
        <v>1987</v>
      </c>
      <c r="J8">
        <v>110</v>
      </c>
      <c r="K8">
        <v>144</v>
      </c>
      <c r="L8">
        <v>78</v>
      </c>
      <c r="M8">
        <v>36</v>
      </c>
      <c r="N8">
        <v>88</v>
      </c>
      <c r="O8">
        <f t="shared" si="1"/>
        <v>456</v>
      </c>
      <c r="Q8" s="4">
        <v>1987</v>
      </c>
      <c r="R8">
        <v>10</v>
      </c>
      <c r="S8">
        <v>4</v>
      </c>
      <c r="T8">
        <v>4</v>
      </c>
      <c r="V8">
        <v>7</v>
      </c>
      <c r="W8">
        <f t="shared" si="2"/>
        <v>25</v>
      </c>
      <c r="Y8" s="4">
        <v>1987</v>
      </c>
      <c r="Z8">
        <v>2</v>
      </c>
      <c r="AD8">
        <v>1</v>
      </c>
      <c r="AE8">
        <f t="shared" si="3"/>
        <v>3</v>
      </c>
      <c r="AG8" s="4">
        <v>1987</v>
      </c>
      <c r="AH8">
        <v>162</v>
      </c>
      <c r="AI8">
        <v>130</v>
      </c>
      <c r="AJ8">
        <v>75</v>
      </c>
      <c r="AK8">
        <v>40</v>
      </c>
      <c r="AL8">
        <v>131</v>
      </c>
      <c r="AM8">
        <f t="shared" si="4"/>
        <v>538</v>
      </c>
      <c r="AO8" s="4">
        <v>1987</v>
      </c>
      <c r="AU8">
        <f t="shared" si="5"/>
        <v>0</v>
      </c>
    </row>
    <row r="9" spans="1:47" ht="12.75">
      <c r="A9" s="4">
        <v>1988</v>
      </c>
      <c r="B9">
        <v>254</v>
      </c>
      <c r="C9">
        <v>235</v>
      </c>
      <c r="D9">
        <v>207</v>
      </c>
      <c r="E9">
        <v>110</v>
      </c>
      <c r="F9">
        <v>256</v>
      </c>
      <c r="G9">
        <f t="shared" si="0"/>
        <v>1062</v>
      </c>
      <c r="I9" s="4">
        <v>1988</v>
      </c>
      <c r="J9">
        <v>107</v>
      </c>
      <c r="K9">
        <v>112</v>
      </c>
      <c r="L9">
        <v>76</v>
      </c>
      <c r="M9">
        <v>65</v>
      </c>
      <c r="N9">
        <v>87</v>
      </c>
      <c r="O9">
        <f t="shared" si="1"/>
        <v>447</v>
      </c>
      <c r="Q9" s="4">
        <v>1988</v>
      </c>
      <c r="R9">
        <v>10</v>
      </c>
      <c r="S9">
        <v>4</v>
      </c>
      <c r="T9">
        <v>3</v>
      </c>
      <c r="U9">
        <v>1</v>
      </c>
      <c r="V9">
        <v>5</v>
      </c>
      <c r="W9">
        <f t="shared" si="2"/>
        <v>23</v>
      </c>
      <c r="Y9" s="4">
        <v>1988</v>
      </c>
      <c r="Z9">
        <v>2</v>
      </c>
      <c r="AA9">
        <v>1</v>
      </c>
      <c r="AD9">
        <v>1</v>
      </c>
      <c r="AE9">
        <f t="shared" si="3"/>
        <v>4</v>
      </c>
      <c r="AG9" s="4">
        <v>1988</v>
      </c>
      <c r="AH9">
        <v>147</v>
      </c>
      <c r="AI9">
        <v>126</v>
      </c>
      <c r="AJ9">
        <v>58</v>
      </c>
      <c r="AK9">
        <v>58</v>
      </c>
      <c r="AL9">
        <v>122</v>
      </c>
      <c r="AM9">
        <f t="shared" si="4"/>
        <v>511</v>
      </c>
      <c r="AO9" s="4">
        <v>1988</v>
      </c>
      <c r="AU9">
        <f t="shared" si="5"/>
        <v>0</v>
      </c>
    </row>
    <row r="10" spans="1:47" ht="12.75">
      <c r="A10" s="4">
        <v>1989</v>
      </c>
      <c r="B10">
        <v>301</v>
      </c>
      <c r="C10">
        <v>288</v>
      </c>
      <c r="D10">
        <v>254</v>
      </c>
      <c r="E10">
        <v>182</v>
      </c>
      <c r="F10">
        <v>329</v>
      </c>
      <c r="G10">
        <f t="shared" si="0"/>
        <v>1354</v>
      </c>
      <c r="I10" s="4">
        <v>1989</v>
      </c>
      <c r="J10">
        <v>151</v>
      </c>
      <c r="K10">
        <v>153</v>
      </c>
      <c r="L10">
        <v>89</v>
      </c>
      <c r="M10">
        <v>136</v>
      </c>
      <c r="N10">
        <v>117</v>
      </c>
      <c r="O10">
        <f t="shared" si="1"/>
        <v>646</v>
      </c>
      <c r="Q10" s="4">
        <v>1989</v>
      </c>
      <c r="R10">
        <v>8</v>
      </c>
      <c r="S10">
        <v>7</v>
      </c>
      <c r="T10">
        <v>6</v>
      </c>
      <c r="U10">
        <v>1</v>
      </c>
      <c r="V10">
        <v>6</v>
      </c>
      <c r="W10">
        <f t="shared" si="2"/>
        <v>28</v>
      </c>
      <c r="Y10" s="4">
        <v>1989</v>
      </c>
      <c r="Z10">
        <v>4</v>
      </c>
      <c r="AA10">
        <v>3</v>
      </c>
      <c r="AC10">
        <v>4</v>
      </c>
      <c r="AD10">
        <v>2</v>
      </c>
      <c r="AE10">
        <f t="shared" si="3"/>
        <v>13</v>
      </c>
      <c r="AG10" s="4">
        <v>1989</v>
      </c>
      <c r="AH10">
        <v>159</v>
      </c>
      <c r="AI10">
        <v>156</v>
      </c>
      <c r="AJ10">
        <v>70</v>
      </c>
      <c r="AK10">
        <v>101</v>
      </c>
      <c r="AL10">
        <v>134</v>
      </c>
      <c r="AM10">
        <f t="shared" si="4"/>
        <v>620</v>
      </c>
      <c r="AO10" s="4">
        <v>1989</v>
      </c>
      <c r="AU10">
        <f t="shared" si="5"/>
        <v>0</v>
      </c>
    </row>
    <row r="11" spans="1:47" ht="12.75">
      <c r="A11" s="4">
        <v>1990</v>
      </c>
      <c r="B11">
        <v>286</v>
      </c>
      <c r="C11">
        <v>216</v>
      </c>
      <c r="D11">
        <v>208</v>
      </c>
      <c r="E11">
        <v>141</v>
      </c>
      <c r="F11">
        <v>310</v>
      </c>
      <c r="G11">
        <f t="shared" si="0"/>
        <v>1161</v>
      </c>
      <c r="I11" s="4">
        <v>1990</v>
      </c>
      <c r="J11">
        <v>106</v>
      </c>
      <c r="K11">
        <v>96</v>
      </c>
      <c r="L11">
        <v>76</v>
      </c>
      <c r="M11">
        <v>114</v>
      </c>
      <c r="N11">
        <v>110</v>
      </c>
      <c r="O11">
        <f t="shared" si="1"/>
        <v>502</v>
      </c>
      <c r="Q11" s="4">
        <v>1990</v>
      </c>
      <c r="R11">
        <v>5</v>
      </c>
      <c r="S11">
        <v>3</v>
      </c>
      <c r="T11">
        <v>5</v>
      </c>
      <c r="U11">
        <v>1</v>
      </c>
      <c r="V11">
        <v>8</v>
      </c>
      <c r="W11">
        <f t="shared" si="2"/>
        <v>22</v>
      </c>
      <c r="Y11" s="4">
        <v>1990</v>
      </c>
      <c r="AB11">
        <v>1</v>
      </c>
      <c r="AD11">
        <v>4</v>
      </c>
      <c r="AE11">
        <f t="shared" si="3"/>
        <v>5</v>
      </c>
      <c r="AG11" s="4">
        <v>1990</v>
      </c>
      <c r="AH11">
        <v>139</v>
      </c>
      <c r="AI11">
        <v>109</v>
      </c>
      <c r="AJ11">
        <v>74</v>
      </c>
      <c r="AK11">
        <v>122</v>
      </c>
      <c r="AL11">
        <v>146</v>
      </c>
      <c r="AM11">
        <f t="shared" si="4"/>
        <v>590</v>
      </c>
      <c r="AO11" s="4">
        <v>1990</v>
      </c>
      <c r="AU11">
        <f t="shared" si="5"/>
        <v>0</v>
      </c>
    </row>
    <row r="12" spans="1:47" ht="12.75">
      <c r="A12" s="4">
        <v>1991</v>
      </c>
      <c r="B12">
        <v>291</v>
      </c>
      <c r="C12">
        <v>188</v>
      </c>
      <c r="D12">
        <v>246</v>
      </c>
      <c r="E12">
        <v>142</v>
      </c>
      <c r="F12">
        <v>294</v>
      </c>
      <c r="G12">
        <f t="shared" si="0"/>
        <v>1161</v>
      </c>
      <c r="I12" s="4">
        <v>1991</v>
      </c>
      <c r="J12">
        <v>147</v>
      </c>
      <c r="K12">
        <v>101</v>
      </c>
      <c r="L12">
        <v>89</v>
      </c>
      <c r="M12">
        <v>97</v>
      </c>
      <c r="N12">
        <v>122</v>
      </c>
      <c r="O12">
        <f t="shared" si="1"/>
        <v>556</v>
      </c>
      <c r="Q12" s="4">
        <v>1991</v>
      </c>
      <c r="R12">
        <v>16</v>
      </c>
      <c r="S12">
        <v>8</v>
      </c>
      <c r="T12">
        <v>3</v>
      </c>
      <c r="U12">
        <v>2</v>
      </c>
      <c r="V12">
        <v>11</v>
      </c>
      <c r="W12">
        <f t="shared" si="2"/>
        <v>40</v>
      </c>
      <c r="Y12" s="4">
        <v>1991</v>
      </c>
      <c r="Z12">
        <v>5</v>
      </c>
      <c r="AA12">
        <v>3</v>
      </c>
      <c r="AB12">
        <v>3</v>
      </c>
      <c r="AD12">
        <v>3</v>
      </c>
      <c r="AE12">
        <f t="shared" si="3"/>
        <v>14</v>
      </c>
      <c r="AG12" s="4">
        <v>1991</v>
      </c>
      <c r="AH12">
        <v>185</v>
      </c>
      <c r="AI12">
        <v>121</v>
      </c>
      <c r="AJ12">
        <v>72</v>
      </c>
      <c r="AK12">
        <v>121</v>
      </c>
      <c r="AL12">
        <v>142</v>
      </c>
      <c r="AM12">
        <f t="shared" si="4"/>
        <v>641</v>
      </c>
      <c r="AO12" s="4">
        <v>1991</v>
      </c>
      <c r="AU12">
        <f t="shared" si="5"/>
        <v>0</v>
      </c>
    </row>
    <row r="13" spans="1:47" ht="12.75">
      <c r="A13" s="4">
        <v>1992</v>
      </c>
      <c r="B13">
        <v>258</v>
      </c>
      <c r="C13">
        <v>226</v>
      </c>
      <c r="D13">
        <v>312</v>
      </c>
      <c r="E13">
        <v>156</v>
      </c>
      <c r="F13">
        <v>412</v>
      </c>
      <c r="G13">
        <f t="shared" si="0"/>
        <v>1364</v>
      </c>
      <c r="I13" s="4">
        <v>1992</v>
      </c>
      <c r="J13">
        <v>133</v>
      </c>
      <c r="K13">
        <v>80</v>
      </c>
      <c r="L13">
        <v>87</v>
      </c>
      <c r="M13">
        <v>165</v>
      </c>
      <c r="N13">
        <v>174</v>
      </c>
      <c r="O13">
        <f t="shared" si="1"/>
        <v>639</v>
      </c>
      <c r="Q13" s="4">
        <v>1992</v>
      </c>
      <c r="R13">
        <v>14</v>
      </c>
      <c r="S13">
        <v>9</v>
      </c>
      <c r="T13">
        <v>7</v>
      </c>
      <c r="U13">
        <v>7</v>
      </c>
      <c r="V13">
        <v>23</v>
      </c>
      <c r="W13">
        <f t="shared" si="2"/>
        <v>60</v>
      </c>
      <c r="Y13" s="4">
        <v>1992</v>
      </c>
      <c r="Z13">
        <v>1</v>
      </c>
      <c r="AA13">
        <v>1</v>
      </c>
      <c r="AB13">
        <v>3</v>
      </c>
      <c r="AC13">
        <v>1</v>
      </c>
      <c r="AD13">
        <v>4</v>
      </c>
      <c r="AE13">
        <f t="shared" si="3"/>
        <v>10</v>
      </c>
      <c r="AG13" s="4">
        <v>1992</v>
      </c>
      <c r="AH13">
        <v>154</v>
      </c>
      <c r="AI13">
        <v>103</v>
      </c>
      <c r="AJ13">
        <v>87</v>
      </c>
      <c r="AK13">
        <v>136</v>
      </c>
      <c r="AL13">
        <v>249</v>
      </c>
      <c r="AM13">
        <f t="shared" si="4"/>
        <v>729</v>
      </c>
      <c r="AO13" s="4">
        <v>1992</v>
      </c>
      <c r="AU13">
        <f t="shared" si="5"/>
        <v>0</v>
      </c>
    </row>
    <row r="14" spans="1:47" ht="12.75">
      <c r="A14" s="4">
        <v>1993</v>
      </c>
      <c r="B14">
        <v>302</v>
      </c>
      <c r="C14">
        <v>198</v>
      </c>
      <c r="D14">
        <v>276</v>
      </c>
      <c r="E14">
        <v>156</v>
      </c>
      <c r="F14">
        <v>422</v>
      </c>
      <c r="G14">
        <f t="shared" si="0"/>
        <v>1354</v>
      </c>
      <c r="I14" s="4">
        <v>1993</v>
      </c>
      <c r="J14">
        <v>134</v>
      </c>
      <c r="K14">
        <v>85</v>
      </c>
      <c r="L14">
        <v>83</v>
      </c>
      <c r="M14">
        <v>185</v>
      </c>
      <c r="N14">
        <v>213</v>
      </c>
      <c r="O14">
        <f t="shared" si="1"/>
        <v>700</v>
      </c>
      <c r="Q14" s="4">
        <v>1993</v>
      </c>
      <c r="R14">
        <v>19</v>
      </c>
      <c r="S14">
        <v>9</v>
      </c>
      <c r="T14">
        <v>16</v>
      </c>
      <c r="U14">
        <v>2</v>
      </c>
      <c r="V14">
        <v>33</v>
      </c>
      <c r="W14">
        <f t="shared" si="2"/>
        <v>79</v>
      </c>
      <c r="Y14" s="4">
        <v>1993</v>
      </c>
      <c r="Z14">
        <v>5</v>
      </c>
      <c r="AA14">
        <v>7</v>
      </c>
      <c r="AB14">
        <v>1</v>
      </c>
      <c r="AE14">
        <f t="shared" si="3"/>
        <v>13</v>
      </c>
      <c r="AG14" s="4">
        <v>1993</v>
      </c>
      <c r="AH14">
        <v>166</v>
      </c>
      <c r="AI14">
        <v>113</v>
      </c>
      <c r="AJ14">
        <v>90</v>
      </c>
      <c r="AK14">
        <v>132</v>
      </c>
      <c r="AL14">
        <v>232</v>
      </c>
      <c r="AM14">
        <f t="shared" si="4"/>
        <v>733</v>
      </c>
      <c r="AO14" s="4">
        <v>1993</v>
      </c>
      <c r="AU14">
        <f t="shared" si="5"/>
        <v>0</v>
      </c>
    </row>
    <row r="15" spans="1:47" ht="12.75">
      <c r="A15" s="4">
        <v>1994</v>
      </c>
      <c r="B15">
        <v>285</v>
      </c>
      <c r="C15">
        <v>172</v>
      </c>
      <c r="D15">
        <v>255</v>
      </c>
      <c r="E15">
        <v>165</v>
      </c>
      <c r="F15">
        <v>420</v>
      </c>
      <c r="G15">
        <f t="shared" si="0"/>
        <v>1297</v>
      </c>
      <c r="I15" s="4">
        <v>1994</v>
      </c>
      <c r="J15">
        <v>147</v>
      </c>
      <c r="K15">
        <v>106</v>
      </c>
      <c r="L15">
        <v>75</v>
      </c>
      <c r="M15">
        <v>226</v>
      </c>
      <c r="N15">
        <v>191</v>
      </c>
      <c r="O15">
        <f t="shared" si="1"/>
        <v>745</v>
      </c>
      <c r="Q15" s="4">
        <v>1994</v>
      </c>
      <c r="R15">
        <v>18</v>
      </c>
      <c r="S15">
        <v>11</v>
      </c>
      <c r="T15">
        <v>10</v>
      </c>
      <c r="U15">
        <v>6</v>
      </c>
      <c r="V15">
        <v>29</v>
      </c>
      <c r="W15">
        <f t="shared" si="2"/>
        <v>74</v>
      </c>
      <c r="Y15" s="4">
        <v>1994</v>
      </c>
      <c r="Z15">
        <v>7</v>
      </c>
      <c r="AA15">
        <v>2</v>
      </c>
      <c r="AB15">
        <v>3</v>
      </c>
      <c r="AC15">
        <v>2</v>
      </c>
      <c r="AD15">
        <v>5</v>
      </c>
      <c r="AE15">
        <f t="shared" si="3"/>
        <v>19</v>
      </c>
      <c r="AG15" s="4">
        <v>1994</v>
      </c>
      <c r="AH15">
        <v>232</v>
      </c>
      <c r="AI15">
        <v>93</v>
      </c>
      <c r="AJ15">
        <v>87</v>
      </c>
      <c r="AK15">
        <v>192</v>
      </c>
      <c r="AL15">
        <v>268</v>
      </c>
      <c r="AM15">
        <f t="shared" si="4"/>
        <v>872</v>
      </c>
      <c r="AO15" s="4">
        <v>1994</v>
      </c>
      <c r="AU15">
        <f t="shared" si="5"/>
        <v>0</v>
      </c>
    </row>
    <row r="16" spans="1:47" ht="12.75">
      <c r="A16" s="4">
        <v>1995</v>
      </c>
      <c r="B16">
        <v>324</v>
      </c>
      <c r="C16">
        <v>194</v>
      </c>
      <c r="D16">
        <v>274</v>
      </c>
      <c r="E16">
        <v>194</v>
      </c>
      <c r="F16">
        <v>466</v>
      </c>
      <c r="G16">
        <f t="shared" si="0"/>
        <v>1452</v>
      </c>
      <c r="I16" s="4">
        <v>1995</v>
      </c>
      <c r="J16">
        <v>180</v>
      </c>
      <c r="K16">
        <v>112</v>
      </c>
      <c r="L16">
        <v>95</v>
      </c>
      <c r="M16">
        <v>271</v>
      </c>
      <c r="N16">
        <v>192</v>
      </c>
      <c r="O16">
        <f t="shared" si="1"/>
        <v>850</v>
      </c>
      <c r="Q16" s="4">
        <v>1995</v>
      </c>
      <c r="R16">
        <v>25</v>
      </c>
      <c r="S16">
        <v>15</v>
      </c>
      <c r="T16">
        <v>4</v>
      </c>
      <c r="U16">
        <v>10</v>
      </c>
      <c r="V16">
        <v>28</v>
      </c>
      <c r="W16">
        <f t="shared" si="2"/>
        <v>82</v>
      </c>
      <c r="Y16" s="4">
        <v>1995</v>
      </c>
      <c r="Z16">
        <v>11</v>
      </c>
      <c r="AA16">
        <v>1</v>
      </c>
      <c r="AB16">
        <v>2</v>
      </c>
      <c r="AC16">
        <v>3</v>
      </c>
      <c r="AD16">
        <v>3</v>
      </c>
      <c r="AE16">
        <f t="shared" si="3"/>
        <v>20</v>
      </c>
      <c r="AG16" s="4">
        <v>1995</v>
      </c>
      <c r="AH16">
        <v>255</v>
      </c>
      <c r="AI16">
        <v>112</v>
      </c>
      <c r="AJ16">
        <v>90</v>
      </c>
      <c r="AK16">
        <v>316</v>
      </c>
      <c r="AL16">
        <v>303</v>
      </c>
      <c r="AM16">
        <f t="shared" si="4"/>
        <v>1076</v>
      </c>
      <c r="AO16" s="4">
        <v>1995</v>
      </c>
      <c r="AU16">
        <f t="shared" si="5"/>
        <v>0</v>
      </c>
    </row>
    <row r="17" spans="1:47" ht="12.75">
      <c r="A17" s="4">
        <v>1996</v>
      </c>
      <c r="B17">
        <v>388</v>
      </c>
      <c r="C17">
        <v>255</v>
      </c>
      <c r="D17">
        <v>305</v>
      </c>
      <c r="E17">
        <v>269</v>
      </c>
      <c r="F17">
        <v>464</v>
      </c>
      <c r="G17">
        <f t="shared" si="0"/>
        <v>1681</v>
      </c>
      <c r="I17" s="4">
        <v>1996</v>
      </c>
      <c r="J17">
        <v>185</v>
      </c>
      <c r="K17">
        <v>114</v>
      </c>
      <c r="L17">
        <v>102</v>
      </c>
      <c r="M17">
        <v>308</v>
      </c>
      <c r="N17">
        <v>150</v>
      </c>
      <c r="O17">
        <f t="shared" si="1"/>
        <v>859</v>
      </c>
      <c r="Q17" s="4">
        <v>1996</v>
      </c>
      <c r="R17">
        <v>24</v>
      </c>
      <c r="S17">
        <v>9</v>
      </c>
      <c r="T17">
        <v>8</v>
      </c>
      <c r="U17">
        <v>10</v>
      </c>
      <c r="V17">
        <v>24</v>
      </c>
      <c r="W17">
        <f t="shared" si="2"/>
        <v>75</v>
      </c>
      <c r="Y17" s="4">
        <v>1996</v>
      </c>
      <c r="Z17">
        <v>5</v>
      </c>
      <c r="AA17">
        <v>5</v>
      </c>
      <c r="AB17">
        <v>2</v>
      </c>
      <c r="AC17">
        <v>2</v>
      </c>
      <c r="AD17">
        <v>5</v>
      </c>
      <c r="AE17">
        <f t="shared" si="3"/>
        <v>19</v>
      </c>
      <c r="AG17" s="4">
        <v>1996</v>
      </c>
      <c r="AH17">
        <v>293</v>
      </c>
      <c r="AI17">
        <v>132</v>
      </c>
      <c r="AJ17">
        <v>105</v>
      </c>
      <c r="AK17">
        <v>378</v>
      </c>
      <c r="AL17">
        <v>310</v>
      </c>
      <c r="AM17">
        <f t="shared" si="4"/>
        <v>1218</v>
      </c>
      <c r="AO17" s="4">
        <v>1996</v>
      </c>
      <c r="AU17">
        <f t="shared" si="5"/>
        <v>0</v>
      </c>
    </row>
    <row r="18" spans="1:47" ht="12.75">
      <c r="A18" s="4">
        <v>1997</v>
      </c>
      <c r="B18">
        <v>404</v>
      </c>
      <c r="C18">
        <v>232</v>
      </c>
      <c r="D18">
        <v>384</v>
      </c>
      <c r="E18">
        <v>322</v>
      </c>
      <c r="F18">
        <v>371</v>
      </c>
      <c r="G18">
        <f t="shared" si="0"/>
        <v>1713</v>
      </c>
      <c r="I18" s="4">
        <v>1997</v>
      </c>
      <c r="J18">
        <v>132</v>
      </c>
      <c r="K18">
        <v>111</v>
      </c>
      <c r="L18">
        <v>123</v>
      </c>
      <c r="M18">
        <v>411</v>
      </c>
      <c r="N18">
        <v>97</v>
      </c>
      <c r="O18">
        <f t="shared" si="1"/>
        <v>874</v>
      </c>
      <c r="Q18" s="4">
        <v>1997</v>
      </c>
      <c r="R18">
        <v>22</v>
      </c>
      <c r="S18">
        <v>11</v>
      </c>
      <c r="T18">
        <v>11</v>
      </c>
      <c r="U18">
        <v>9</v>
      </c>
      <c r="V18">
        <v>21</v>
      </c>
      <c r="W18">
        <f t="shared" si="2"/>
        <v>74</v>
      </c>
      <c r="Y18" s="4">
        <v>1997</v>
      </c>
      <c r="Z18">
        <v>5</v>
      </c>
      <c r="AA18">
        <v>3</v>
      </c>
      <c r="AB18">
        <v>6</v>
      </c>
      <c r="AC18">
        <v>2</v>
      </c>
      <c r="AD18">
        <v>6</v>
      </c>
      <c r="AE18">
        <f t="shared" si="3"/>
        <v>22</v>
      </c>
      <c r="AG18" s="4">
        <v>1997</v>
      </c>
      <c r="AH18">
        <v>269</v>
      </c>
      <c r="AI18">
        <v>160</v>
      </c>
      <c r="AJ18">
        <v>129</v>
      </c>
      <c r="AK18">
        <v>329</v>
      </c>
      <c r="AL18">
        <v>302</v>
      </c>
      <c r="AM18">
        <f t="shared" si="4"/>
        <v>1189</v>
      </c>
      <c r="AO18" s="4">
        <v>1997</v>
      </c>
      <c r="AU18">
        <f t="shared" si="5"/>
        <v>0</v>
      </c>
    </row>
    <row r="19" spans="1:47" ht="12.75">
      <c r="A19" s="4">
        <v>1998</v>
      </c>
      <c r="B19">
        <v>447</v>
      </c>
      <c r="C19">
        <v>289</v>
      </c>
      <c r="D19">
        <v>400</v>
      </c>
      <c r="E19">
        <v>425</v>
      </c>
      <c r="F19">
        <v>410</v>
      </c>
      <c r="G19">
        <f t="shared" si="0"/>
        <v>1971</v>
      </c>
      <c r="I19" s="4">
        <v>1998</v>
      </c>
      <c r="J19">
        <v>148</v>
      </c>
      <c r="K19">
        <v>98</v>
      </c>
      <c r="L19">
        <v>105</v>
      </c>
      <c r="M19">
        <v>366</v>
      </c>
      <c r="N19">
        <v>84</v>
      </c>
      <c r="O19">
        <f t="shared" si="1"/>
        <v>801</v>
      </c>
      <c r="Q19" s="4">
        <v>1998</v>
      </c>
      <c r="R19">
        <v>18</v>
      </c>
      <c r="S19">
        <v>9</v>
      </c>
      <c r="T19">
        <v>7</v>
      </c>
      <c r="U19">
        <v>13</v>
      </c>
      <c r="V19">
        <v>21</v>
      </c>
      <c r="W19">
        <f t="shared" si="2"/>
        <v>68</v>
      </c>
      <c r="Y19" s="4">
        <v>1998</v>
      </c>
      <c r="Z19">
        <v>6</v>
      </c>
      <c r="AA19">
        <v>6</v>
      </c>
      <c r="AB19">
        <v>6</v>
      </c>
      <c r="AC19">
        <v>2</v>
      </c>
      <c r="AD19">
        <v>4</v>
      </c>
      <c r="AE19">
        <f t="shared" si="3"/>
        <v>24</v>
      </c>
      <c r="AG19" s="4">
        <v>1998</v>
      </c>
      <c r="AH19">
        <v>265</v>
      </c>
      <c r="AI19">
        <v>163</v>
      </c>
      <c r="AJ19">
        <v>129</v>
      </c>
      <c r="AK19">
        <v>393</v>
      </c>
      <c r="AL19">
        <v>286</v>
      </c>
      <c r="AM19">
        <f t="shared" si="4"/>
        <v>1236</v>
      </c>
      <c r="AO19" s="4">
        <v>1998</v>
      </c>
      <c r="AU19">
        <f t="shared" si="5"/>
        <v>0</v>
      </c>
    </row>
    <row r="20" spans="1:47" ht="12.75">
      <c r="A20" s="4">
        <v>1999</v>
      </c>
      <c r="B20">
        <v>381</v>
      </c>
      <c r="C20">
        <v>249</v>
      </c>
      <c r="D20">
        <v>359</v>
      </c>
      <c r="E20">
        <v>370</v>
      </c>
      <c r="F20">
        <v>421</v>
      </c>
      <c r="G20">
        <f t="shared" si="0"/>
        <v>1780</v>
      </c>
      <c r="I20" s="4">
        <v>1999</v>
      </c>
      <c r="J20">
        <v>129</v>
      </c>
      <c r="K20">
        <v>87</v>
      </c>
      <c r="L20">
        <v>82</v>
      </c>
      <c r="M20">
        <v>325</v>
      </c>
      <c r="N20">
        <v>88</v>
      </c>
      <c r="O20">
        <f t="shared" si="1"/>
        <v>711</v>
      </c>
      <c r="Q20" s="4">
        <v>1999</v>
      </c>
      <c r="R20">
        <v>29</v>
      </c>
      <c r="S20">
        <v>11</v>
      </c>
      <c r="T20">
        <v>11</v>
      </c>
      <c r="U20">
        <v>15</v>
      </c>
      <c r="V20">
        <v>15</v>
      </c>
      <c r="W20">
        <f t="shared" si="2"/>
        <v>81</v>
      </c>
      <c r="Y20" s="4">
        <v>1999</v>
      </c>
      <c r="Z20">
        <v>8</v>
      </c>
      <c r="AA20">
        <v>11</v>
      </c>
      <c r="AB20">
        <v>4</v>
      </c>
      <c r="AC20">
        <v>4</v>
      </c>
      <c r="AD20">
        <v>5</v>
      </c>
      <c r="AE20">
        <f t="shared" si="3"/>
        <v>32</v>
      </c>
      <c r="AG20" s="4">
        <v>1999</v>
      </c>
      <c r="AH20">
        <v>285</v>
      </c>
      <c r="AI20">
        <v>144</v>
      </c>
      <c r="AJ20">
        <v>110</v>
      </c>
      <c r="AK20">
        <v>337</v>
      </c>
      <c r="AL20">
        <v>264</v>
      </c>
      <c r="AM20">
        <f t="shared" si="4"/>
        <v>1140</v>
      </c>
      <c r="AO20" s="4">
        <v>1999</v>
      </c>
      <c r="AU20">
        <f t="shared" si="5"/>
        <v>0</v>
      </c>
    </row>
    <row r="21" spans="1:47" ht="12.75">
      <c r="A21" s="4" t="s">
        <v>13</v>
      </c>
      <c r="B21" s="2">
        <f>SUM(B4:B20)</f>
        <v>5290</v>
      </c>
      <c r="C21" s="2">
        <f>SUM(C4:C20)</f>
        <v>4050</v>
      </c>
      <c r="D21" s="2">
        <f>SUM(D4:D20)</f>
        <v>4510</v>
      </c>
      <c r="E21" s="2">
        <f>SUM(E4:E20)</f>
        <v>2981</v>
      </c>
      <c r="F21" s="2">
        <f>SUM(F4:F20)</f>
        <v>5517</v>
      </c>
      <c r="G21" s="2">
        <f>SUM(G4:G20)</f>
        <v>22348</v>
      </c>
      <c r="I21" s="4" t="s">
        <v>13</v>
      </c>
      <c r="J21" s="2">
        <f>SUM(J4:J20)</f>
        <v>2134</v>
      </c>
      <c r="K21" s="2">
        <f>SUM(K4:K20)</f>
        <v>1744</v>
      </c>
      <c r="L21" s="2">
        <f>SUM(L4:L20)</f>
        <v>1393</v>
      </c>
      <c r="M21" s="2">
        <f>SUM(M4:M20)</f>
        <v>2767</v>
      </c>
      <c r="N21" s="2">
        <f>SUM(N4:N20)</f>
        <v>1961</v>
      </c>
      <c r="O21" s="2">
        <f>SUM(O4:O20)</f>
        <v>9999</v>
      </c>
      <c r="Q21" s="4" t="s">
        <v>13</v>
      </c>
      <c r="R21" s="2">
        <f>SUM(R4:R20)</f>
        <v>239</v>
      </c>
      <c r="S21" s="2">
        <f>SUM(S4:S20)</f>
        <v>141</v>
      </c>
      <c r="T21" s="2">
        <f>SUM(T4:T20)</f>
        <v>101</v>
      </c>
      <c r="U21" s="2">
        <f>SUM(U4:U20)</f>
        <v>80</v>
      </c>
      <c r="V21" s="2">
        <f>SUM(V4:V20)</f>
        <v>243</v>
      </c>
      <c r="W21" s="2">
        <f>SUM(W4:W20)</f>
        <v>804</v>
      </c>
      <c r="Y21" s="4" t="s">
        <v>13</v>
      </c>
      <c r="Z21" s="2">
        <f>SUM(Z4:Z20)</f>
        <v>70</v>
      </c>
      <c r="AA21" s="2">
        <f>SUM(AA4:AA20)</f>
        <v>51</v>
      </c>
      <c r="AB21" s="2">
        <f>SUM(AB4:AB20)</f>
        <v>33</v>
      </c>
      <c r="AC21" s="2">
        <f>SUM(AC4:AC20)</f>
        <v>21</v>
      </c>
      <c r="AD21" s="2">
        <f>SUM(AD4:AD20)</f>
        <v>43</v>
      </c>
      <c r="AE21" s="2">
        <f>SUM(AE4:AE20)</f>
        <v>218</v>
      </c>
      <c r="AG21" s="4" t="s">
        <v>13</v>
      </c>
      <c r="AH21" s="2">
        <f>SUM(AH4:AH20)</f>
        <v>3186</v>
      </c>
      <c r="AI21" s="2">
        <f>SUM(AI4:AI20)</f>
        <v>2121</v>
      </c>
      <c r="AJ21" s="2">
        <f>SUM(AJ4:AJ20)</f>
        <v>1381</v>
      </c>
      <c r="AK21" s="2">
        <f>SUM(AK4:AK20)</f>
        <v>2728</v>
      </c>
      <c r="AL21" s="2">
        <f>SUM(AL4:AL20)</f>
        <v>3204</v>
      </c>
      <c r="AM21" s="2">
        <f>SUM(AM4:AM20)</f>
        <v>12620</v>
      </c>
      <c r="AO21" s="4" t="s">
        <v>13</v>
      </c>
      <c r="AU21">
        <f>SUM(AP21:AT21)</f>
        <v>0</v>
      </c>
    </row>
    <row r="22" spans="9:41" ht="12.75">
      <c r="I22" s="4"/>
      <c r="Q22" s="4"/>
      <c r="Y22" s="4"/>
      <c r="AG22" s="4"/>
      <c r="AO22" s="4"/>
    </row>
    <row r="23" spans="1:41" ht="12.75">
      <c r="A23" s="4" t="s">
        <v>11</v>
      </c>
      <c r="I23" s="4" t="s">
        <v>12</v>
      </c>
      <c r="Q23" s="4" t="s">
        <v>28</v>
      </c>
      <c r="Y23" s="4" t="s">
        <v>29</v>
      </c>
      <c r="AG23" s="4" t="s">
        <v>26</v>
      </c>
      <c r="AO23" s="4" t="s">
        <v>27</v>
      </c>
    </row>
    <row r="24" spans="1:47" ht="12.75">
      <c r="A24" s="4" t="s">
        <v>21</v>
      </c>
      <c r="B24" s="12" t="s">
        <v>0</v>
      </c>
      <c r="C24" s="12" t="s">
        <v>5</v>
      </c>
      <c r="D24" s="12" t="s">
        <v>6</v>
      </c>
      <c r="E24" s="12" t="s">
        <v>1</v>
      </c>
      <c r="F24" s="12" t="s">
        <v>4</v>
      </c>
      <c r="G24" s="12" t="s">
        <v>13</v>
      </c>
      <c r="I24" s="4" t="s">
        <v>21</v>
      </c>
      <c r="J24" s="12" t="s">
        <v>0</v>
      </c>
      <c r="K24" s="12" t="s">
        <v>5</v>
      </c>
      <c r="L24" s="12" t="s">
        <v>6</v>
      </c>
      <c r="M24" s="12" t="s">
        <v>1</v>
      </c>
      <c r="N24" s="12" t="s">
        <v>4</v>
      </c>
      <c r="O24" s="12" t="s">
        <v>13</v>
      </c>
      <c r="Q24" s="4" t="s">
        <v>21</v>
      </c>
      <c r="R24" s="12" t="s">
        <v>0</v>
      </c>
      <c r="S24" s="12" t="s">
        <v>5</v>
      </c>
      <c r="T24" s="12" t="s">
        <v>6</v>
      </c>
      <c r="U24" s="12" t="s">
        <v>1</v>
      </c>
      <c r="V24" s="12" t="s">
        <v>4</v>
      </c>
      <c r="W24" s="12" t="s">
        <v>13</v>
      </c>
      <c r="Y24" s="4" t="s">
        <v>21</v>
      </c>
      <c r="Z24" s="12" t="s">
        <v>0</v>
      </c>
      <c r="AA24" s="12" t="s">
        <v>5</v>
      </c>
      <c r="AB24" s="12" t="s">
        <v>6</v>
      </c>
      <c r="AC24" s="12" t="s">
        <v>1</v>
      </c>
      <c r="AD24" s="12" t="s">
        <v>4</v>
      </c>
      <c r="AE24" s="12" t="s">
        <v>13</v>
      </c>
      <c r="AG24" s="4" t="s">
        <v>21</v>
      </c>
      <c r="AH24" s="12" t="s">
        <v>0</v>
      </c>
      <c r="AI24" s="12" t="s">
        <v>5</v>
      </c>
      <c r="AJ24" s="12" t="s">
        <v>6</v>
      </c>
      <c r="AK24" s="12" t="s">
        <v>1</v>
      </c>
      <c r="AL24" s="12" t="s">
        <v>4</v>
      </c>
      <c r="AM24" s="12" t="s">
        <v>13</v>
      </c>
      <c r="AO24" s="4" t="s">
        <v>21</v>
      </c>
      <c r="AP24" s="12" t="s">
        <v>0</v>
      </c>
      <c r="AQ24" s="12" t="s">
        <v>5</v>
      </c>
      <c r="AR24" s="12" t="s">
        <v>6</v>
      </c>
      <c r="AS24" s="12" t="s">
        <v>1</v>
      </c>
      <c r="AT24" s="12" t="s">
        <v>4</v>
      </c>
      <c r="AU24" s="12" t="s">
        <v>13</v>
      </c>
    </row>
    <row r="25" spans="1:47" ht="12.75">
      <c r="A25" s="4">
        <v>1983</v>
      </c>
      <c r="B25">
        <v>38</v>
      </c>
      <c r="C25">
        <v>57</v>
      </c>
      <c r="D25">
        <v>23</v>
      </c>
      <c r="E25">
        <v>2</v>
      </c>
      <c r="F25">
        <v>17</v>
      </c>
      <c r="G25">
        <f>SUM(B25:F25)</f>
        <v>137</v>
      </c>
      <c r="I25" s="4">
        <v>1983</v>
      </c>
      <c r="J25">
        <v>29</v>
      </c>
      <c r="K25">
        <v>25</v>
      </c>
      <c r="L25">
        <v>7</v>
      </c>
      <c r="M25">
        <v>1</v>
      </c>
      <c r="N25">
        <v>6</v>
      </c>
      <c r="O25">
        <f>SUM(J25:N25)</f>
        <v>68</v>
      </c>
      <c r="Q25" s="4">
        <v>1983</v>
      </c>
      <c r="R25">
        <v>2</v>
      </c>
      <c r="S25">
        <v>1</v>
      </c>
      <c r="W25">
        <f>SUM(R25:V25)</f>
        <v>3</v>
      </c>
      <c r="Y25" s="4">
        <v>1983</v>
      </c>
      <c r="AE25">
        <f>SUM(Z25:AD25)</f>
        <v>0</v>
      </c>
      <c r="AG25" s="4">
        <v>1983</v>
      </c>
      <c r="AH25">
        <v>34</v>
      </c>
      <c r="AI25">
        <v>29</v>
      </c>
      <c r="AJ25">
        <v>7</v>
      </c>
      <c r="AK25">
        <v>2</v>
      </c>
      <c r="AL25">
        <v>6</v>
      </c>
      <c r="AM25">
        <f>SUM(AH25:AL25)</f>
        <v>78</v>
      </c>
      <c r="AO25" s="4">
        <v>1983</v>
      </c>
      <c r="AU25">
        <f>SUM(AP25:AT25)</f>
        <v>0</v>
      </c>
    </row>
    <row r="26" spans="1:47" ht="12.75">
      <c r="A26" s="4">
        <v>1984</v>
      </c>
      <c r="G26">
        <f aca="true" t="shared" si="6" ref="G26:G41">SUM(B26:F26)</f>
        <v>0</v>
      </c>
      <c r="I26" s="4">
        <v>1984</v>
      </c>
      <c r="O26">
        <f aca="true" t="shared" si="7" ref="O26:O41">SUM(J26:N26)</f>
        <v>0</v>
      </c>
      <c r="Q26" s="4">
        <v>1984</v>
      </c>
      <c r="W26">
        <f aca="true" t="shared" si="8" ref="W26:W41">SUM(R26:V26)</f>
        <v>0</v>
      </c>
      <c r="Y26" s="4">
        <v>1984</v>
      </c>
      <c r="AE26">
        <f aca="true" t="shared" si="9" ref="AE26:AE41">SUM(Z26:AD26)</f>
        <v>0</v>
      </c>
      <c r="AG26" s="4">
        <v>1984</v>
      </c>
      <c r="AM26">
        <f aca="true" t="shared" si="10" ref="AM26:AM41">SUM(AH26:AL26)</f>
        <v>0</v>
      </c>
      <c r="AO26" s="4">
        <v>1984</v>
      </c>
      <c r="AU26">
        <f aca="true" t="shared" si="11" ref="AU26:AU41">SUM(AP26:AT26)</f>
        <v>0</v>
      </c>
    </row>
    <row r="27" spans="1:47" ht="12.75">
      <c r="A27" s="4">
        <v>1985</v>
      </c>
      <c r="B27">
        <v>38</v>
      </c>
      <c r="C27">
        <v>66</v>
      </c>
      <c r="D27">
        <v>40</v>
      </c>
      <c r="E27">
        <v>6</v>
      </c>
      <c r="F27">
        <v>26</v>
      </c>
      <c r="G27">
        <f t="shared" si="6"/>
        <v>176</v>
      </c>
      <c r="I27" s="4">
        <v>1985</v>
      </c>
      <c r="J27">
        <v>25</v>
      </c>
      <c r="K27">
        <v>45</v>
      </c>
      <c r="L27">
        <v>11</v>
      </c>
      <c r="M27">
        <v>4</v>
      </c>
      <c r="N27">
        <v>14</v>
      </c>
      <c r="O27">
        <f t="shared" si="7"/>
        <v>99</v>
      </c>
      <c r="Q27" s="4">
        <v>1985</v>
      </c>
      <c r="R27">
        <v>1</v>
      </c>
      <c r="S27">
        <v>4</v>
      </c>
      <c r="T27">
        <v>2</v>
      </c>
      <c r="W27">
        <f t="shared" si="8"/>
        <v>7</v>
      </c>
      <c r="Y27" s="4">
        <v>1985</v>
      </c>
      <c r="AE27">
        <f t="shared" si="9"/>
        <v>0</v>
      </c>
      <c r="AG27" s="4">
        <v>1985</v>
      </c>
      <c r="AH27">
        <v>26</v>
      </c>
      <c r="AI27">
        <v>43</v>
      </c>
      <c r="AJ27">
        <v>15</v>
      </c>
      <c r="AK27">
        <v>4</v>
      </c>
      <c r="AL27">
        <v>15</v>
      </c>
      <c r="AM27">
        <f t="shared" si="10"/>
        <v>103</v>
      </c>
      <c r="AO27" s="4">
        <v>1985</v>
      </c>
      <c r="AU27">
        <f t="shared" si="11"/>
        <v>0</v>
      </c>
    </row>
    <row r="28" spans="1:47" ht="12.75">
      <c r="A28" s="4">
        <v>1986</v>
      </c>
      <c r="B28">
        <v>54</v>
      </c>
      <c r="C28">
        <v>89</v>
      </c>
      <c r="D28">
        <v>40</v>
      </c>
      <c r="E28">
        <v>10</v>
      </c>
      <c r="F28">
        <v>40</v>
      </c>
      <c r="G28">
        <f t="shared" si="6"/>
        <v>233</v>
      </c>
      <c r="I28" s="4">
        <v>1986</v>
      </c>
      <c r="J28">
        <v>28</v>
      </c>
      <c r="K28">
        <v>40</v>
      </c>
      <c r="L28">
        <v>23</v>
      </c>
      <c r="M28">
        <v>2</v>
      </c>
      <c r="N28">
        <v>20</v>
      </c>
      <c r="O28">
        <f t="shared" si="7"/>
        <v>113</v>
      </c>
      <c r="Q28" s="4">
        <v>1986</v>
      </c>
      <c r="S28">
        <v>1</v>
      </c>
      <c r="T28">
        <v>1</v>
      </c>
      <c r="V28">
        <v>1</v>
      </c>
      <c r="W28">
        <f t="shared" si="8"/>
        <v>3</v>
      </c>
      <c r="Y28" s="4">
        <v>1986</v>
      </c>
      <c r="AE28">
        <f t="shared" si="9"/>
        <v>0</v>
      </c>
      <c r="AG28" s="4">
        <v>1986</v>
      </c>
      <c r="AH28">
        <v>54</v>
      </c>
      <c r="AI28">
        <v>51</v>
      </c>
      <c r="AJ28">
        <v>17</v>
      </c>
      <c r="AK28">
        <v>3</v>
      </c>
      <c r="AL28">
        <v>26</v>
      </c>
      <c r="AM28">
        <f t="shared" si="10"/>
        <v>151</v>
      </c>
      <c r="AO28" s="4">
        <v>1986</v>
      </c>
      <c r="AU28">
        <f t="shared" si="11"/>
        <v>0</v>
      </c>
    </row>
    <row r="29" spans="1:47" ht="12.75">
      <c r="A29" s="4">
        <v>1987</v>
      </c>
      <c r="B29">
        <v>59</v>
      </c>
      <c r="C29">
        <v>96</v>
      </c>
      <c r="D29">
        <v>60</v>
      </c>
      <c r="E29">
        <v>12</v>
      </c>
      <c r="F29">
        <v>65</v>
      </c>
      <c r="G29">
        <f t="shared" si="6"/>
        <v>292</v>
      </c>
      <c r="I29" s="4">
        <v>1987</v>
      </c>
      <c r="J29">
        <v>44</v>
      </c>
      <c r="K29">
        <v>54</v>
      </c>
      <c r="L29">
        <v>26</v>
      </c>
      <c r="M29">
        <v>7</v>
      </c>
      <c r="N29">
        <v>26</v>
      </c>
      <c r="O29">
        <f t="shared" si="7"/>
        <v>157</v>
      </c>
      <c r="Q29" s="4">
        <v>1987</v>
      </c>
      <c r="R29">
        <v>3</v>
      </c>
      <c r="S29">
        <v>1</v>
      </c>
      <c r="T29">
        <v>3</v>
      </c>
      <c r="W29">
        <f t="shared" si="8"/>
        <v>7</v>
      </c>
      <c r="Y29" s="4">
        <v>1987</v>
      </c>
      <c r="Z29">
        <v>1</v>
      </c>
      <c r="AE29">
        <f t="shared" si="9"/>
        <v>1</v>
      </c>
      <c r="AG29" s="4">
        <v>1987</v>
      </c>
      <c r="AH29">
        <v>55</v>
      </c>
      <c r="AI29">
        <v>58</v>
      </c>
      <c r="AJ29">
        <v>37</v>
      </c>
      <c r="AK29">
        <v>4</v>
      </c>
      <c r="AL29">
        <v>42</v>
      </c>
      <c r="AM29">
        <f t="shared" si="10"/>
        <v>196</v>
      </c>
      <c r="AO29" s="4">
        <v>1987</v>
      </c>
      <c r="AU29">
        <f t="shared" si="11"/>
        <v>0</v>
      </c>
    </row>
    <row r="30" spans="1:47" ht="12.75">
      <c r="A30" s="4">
        <v>1988</v>
      </c>
      <c r="B30">
        <v>31</v>
      </c>
      <c r="C30">
        <v>61</v>
      </c>
      <c r="D30">
        <v>45</v>
      </c>
      <c r="E30">
        <v>11</v>
      </c>
      <c r="F30">
        <v>52</v>
      </c>
      <c r="G30">
        <f t="shared" si="6"/>
        <v>200</v>
      </c>
      <c r="I30" s="4">
        <v>1988</v>
      </c>
      <c r="J30">
        <v>21</v>
      </c>
      <c r="K30">
        <v>25</v>
      </c>
      <c r="L30">
        <v>15</v>
      </c>
      <c r="M30">
        <v>7</v>
      </c>
      <c r="N30">
        <v>28</v>
      </c>
      <c r="O30">
        <f t="shared" si="7"/>
        <v>96</v>
      </c>
      <c r="Q30" s="4">
        <v>1988</v>
      </c>
      <c r="R30">
        <v>1</v>
      </c>
      <c r="S30">
        <v>2</v>
      </c>
      <c r="W30">
        <f t="shared" si="8"/>
        <v>3</v>
      </c>
      <c r="Y30" s="4">
        <v>1988</v>
      </c>
      <c r="Z30">
        <v>1</v>
      </c>
      <c r="AA30">
        <v>1</v>
      </c>
      <c r="AE30">
        <f t="shared" si="9"/>
        <v>2</v>
      </c>
      <c r="AG30" s="4">
        <v>1988</v>
      </c>
      <c r="AH30">
        <v>29</v>
      </c>
      <c r="AI30">
        <v>39</v>
      </c>
      <c r="AJ30">
        <v>22</v>
      </c>
      <c r="AK30">
        <v>13</v>
      </c>
      <c r="AL30">
        <v>24</v>
      </c>
      <c r="AM30">
        <f t="shared" si="10"/>
        <v>127</v>
      </c>
      <c r="AO30" s="4">
        <v>1988</v>
      </c>
      <c r="AU30">
        <f t="shared" si="11"/>
        <v>0</v>
      </c>
    </row>
    <row r="31" spans="1:47" ht="12.75">
      <c r="A31" s="4">
        <v>1989</v>
      </c>
      <c r="B31">
        <v>35</v>
      </c>
      <c r="C31">
        <v>54</v>
      </c>
      <c r="D31">
        <v>53</v>
      </c>
      <c r="E31">
        <v>16</v>
      </c>
      <c r="F31">
        <v>41</v>
      </c>
      <c r="G31">
        <f t="shared" si="6"/>
        <v>199</v>
      </c>
      <c r="I31" s="4">
        <v>1989</v>
      </c>
      <c r="J31">
        <v>21</v>
      </c>
      <c r="K31">
        <v>36</v>
      </c>
      <c r="L31">
        <v>13</v>
      </c>
      <c r="M31">
        <v>4</v>
      </c>
      <c r="N31">
        <v>19</v>
      </c>
      <c r="O31">
        <f t="shared" si="7"/>
        <v>93</v>
      </c>
      <c r="Q31" s="4">
        <v>1989</v>
      </c>
      <c r="S31">
        <v>2</v>
      </c>
      <c r="V31">
        <v>3</v>
      </c>
      <c r="W31">
        <f t="shared" si="8"/>
        <v>5</v>
      </c>
      <c r="Y31" s="4">
        <v>1989</v>
      </c>
      <c r="AE31">
        <f t="shared" si="9"/>
        <v>0</v>
      </c>
      <c r="AG31" s="4">
        <v>1989</v>
      </c>
      <c r="AH31">
        <v>27</v>
      </c>
      <c r="AI31">
        <v>43</v>
      </c>
      <c r="AJ31">
        <v>16</v>
      </c>
      <c r="AK31">
        <v>3</v>
      </c>
      <c r="AL31">
        <v>32</v>
      </c>
      <c r="AM31">
        <f t="shared" si="10"/>
        <v>121</v>
      </c>
      <c r="AO31" s="4">
        <v>1989</v>
      </c>
      <c r="AU31">
        <f t="shared" si="11"/>
        <v>0</v>
      </c>
    </row>
    <row r="32" spans="1:47" ht="12.75">
      <c r="A32" s="4">
        <v>1990</v>
      </c>
      <c r="B32">
        <v>32</v>
      </c>
      <c r="C32">
        <v>48</v>
      </c>
      <c r="D32">
        <v>29</v>
      </c>
      <c r="E32">
        <v>21</v>
      </c>
      <c r="F32">
        <v>56</v>
      </c>
      <c r="G32">
        <f t="shared" si="6"/>
        <v>186</v>
      </c>
      <c r="I32" s="4">
        <v>1990</v>
      </c>
      <c r="J32">
        <v>14</v>
      </c>
      <c r="K32">
        <v>34</v>
      </c>
      <c r="L32">
        <v>24</v>
      </c>
      <c r="M32">
        <v>21</v>
      </c>
      <c r="N32">
        <v>25</v>
      </c>
      <c r="O32">
        <f t="shared" si="7"/>
        <v>118</v>
      </c>
      <c r="Q32" s="4">
        <v>1990</v>
      </c>
      <c r="R32">
        <v>2</v>
      </c>
      <c r="S32">
        <v>3</v>
      </c>
      <c r="V32">
        <v>1</v>
      </c>
      <c r="W32">
        <f t="shared" si="8"/>
        <v>6</v>
      </c>
      <c r="Y32" s="4">
        <v>1990</v>
      </c>
      <c r="AE32">
        <f t="shared" si="9"/>
        <v>0</v>
      </c>
      <c r="AG32" s="4">
        <v>1990</v>
      </c>
      <c r="AH32">
        <v>25</v>
      </c>
      <c r="AI32">
        <v>32</v>
      </c>
      <c r="AJ32">
        <v>13</v>
      </c>
      <c r="AK32">
        <v>12</v>
      </c>
      <c r="AL32">
        <v>44</v>
      </c>
      <c r="AM32">
        <f t="shared" si="10"/>
        <v>126</v>
      </c>
      <c r="AO32" s="4">
        <v>1990</v>
      </c>
      <c r="AU32">
        <f t="shared" si="11"/>
        <v>0</v>
      </c>
    </row>
    <row r="33" spans="1:47" ht="12.75">
      <c r="A33" s="4">
        <v>1991</v>
      </c>
      <c r="B33">
        <v>15</v>
      </c>
      <c r="C33">
        <v>33</v>
      </c>
      <c r="D33">
        <v>29</v>
      </c>
      <c r="E33">
        <v>12</v>
      </c>
      <c r="F33">
        <v>48</v>
      </c>
      <c r="G33">
        <f t="shared" si="6"/>
        <v>137</v>
      </c>
      <c r="I33" s="4">
        <v>1991</v>
      </c>
      <c r="J33">
        <v>9</v>
      </c>
      <c r="K33">
        <v>28</v>
      </c>
      <c r="L33">
        <v>18</v>
      </c>
      <c r="M33">
        <v>16</v>
      </c>
      <c r="N33">
        <v>21</v>
      </c>
      <c r="O33">
        <f t="shared" si="7"/>
        <v>92</v>
      </c>
      <c r="Q33" s="4">
        <v>1991</v>
      </c>
      <c r="R33">
        <v>2</v>
      </c>
      <c r="S33">
        <v>5</v>
      </c>
      <c r="U33">
        <v>1</v>
      </c>
      <c r="V33">
        <v>2</v>
      </c>
      <c r="W33">
        <f t="shared" si="8"/>
        <v>10</v>
      </c>
      <c r="Y33" s="4">
        <v>1991</v>
      </c>
      <c r="AC33">
        <v>1</v>
      </c>
      <c r="AE33">
        <f t="shared" si="9"/>
        <v>1</v>
      </c>
      <c r="AG33" s="4">
        <v>1991</v>
      </c>
      <c r="AH33">
        <v>12</v>
      </c>
      <c r="AI33">
        <v>23</v>
      </c>
      <c r="AJ33">
        <v>15</v>
      </c>
      <c r="AK33">
        <v>8</v>
      </c>
      <c r="AL33">
        <v>30</v>
      </c>
      <c r="AM33">
        <f t="shared" si="10"/>
        <v>88</v>
      </c>
      <c r="AO33" s="4">
        <v>1991</v>
      </c>
      <c r="AU33">
        <f t="shared" si="11"/>
        <v>0</v>
      </c>
    </row>
    <row r="34" spans="1:47" ht="12.75">
      <c r="A34" s="4">
        <v>1992</v>
      </c>
      <c r="B34">
        <v>18</v>
      </c>
      <c r="C34">
        <v>34</v>
      </c>
      <c r="D34">
        <v>44</v>
      </c>
      <c r="E34">
        <v>15</v>
      </c>
      <c r="F34">
        <v>186</v>
      </c>
      <c r="G34">
        <f t="shared" si="6"/>
        <v>297</v>
      </c>
      <c r="I34" s="4">
        <v>1992</v>
      </c>
      <c r="J34">
        <v>9</v>
      </c>
      <c r="K34">
        <v>20</v>
      </c>
      <c r="L34">
        <v>21</v>
      </c>
      <c r="M34">
        <v>34</v>
      </c>
      <c r="N34">
        <v>112</v>
      </c>
      <c r="O34">
        <f t="shared" si="7"/>
        <v>196</v>
      </c>
      <c r="Q34" s="4">
        <v>1992</v>
      </c>
      <c r="R34">
        <v>1</v>
      </c>
      <c r="S34">
        <v>2</v>
      </c>
      <c r="U34">
        <v>2</v>
      </c>
      <c r="V34">
        <v>17</v>
      </c>
      <c r="W34">
        <f t="shared" si="8"/>
        <v>22</v>
      </c>
      <c r="Y34" s="4">
        <v>1992</v>
      </c>
      <c r="AD34">
        <v>1</v>
      </c>
      <c r="AE34">
        <f t="shared" si="9"/>
        <v>1</v>
      </c>
      <c r="AG34" s="4">
        <v>1992</v>
      </c>
      <c r="AH34">
        <v>11</v>
      </c>
      <c r="AI34">
        <v>26</v>
      </c>
      <c r="AJ34">
        <v>27</v>
      </c>
      <c r="AK34">
        <v>14</v>
      </c>
      <c r="AL34">
        <v>102</v>
      </c>
      <c r="AM34">
        <f t="shared" si="10"/>
        <v>180</v>
      </c>
      <c r="AO34" s="4">
        <v>1992</v>
      </c>
      <c r="AU34">
        <f t="shared" si="11"/>
        <v>0</v>
      </c>
    </row>
    <row r="35" spans="1:47" ht="12.75">
      <c r="A35" s="4">
        <v>1993</v>
      </c>
      <c r="B35">
        <v>16</v>
      </c>
      <c r="C35">
        <v>28</v>
      </c>
      <c r="D35">
        <v>55</v>
      </c>
      <c r="E35">
        <v>24</v>
      </c>
      <c r="F35">
        <v>192</v>
      </c>
      <c r="G35">
        <f t="shared" si="6"/>
        <v>315</v>
      </c>
      <c r="I35" s="4">
        <v>1993</v>
      </c>
      <c r="J35">
        <v>16</v>
      </c>
      <c r="K35">
        <v>24</v>
      </c>
      <c r="L35">
        <v>17</v>
      </c>
      <c r="M35">
        <v>44</v>
      </c>
      <c r="N35">
        <v>116</v>
      </c>
      <c r="O35">
        <f t="shared" si="7"/>
        <v>217</v>
      </c>
      <c r="Q35" s="4">
        <v>1993</v>
      </c>
      <c r="S35">
        <v>3</v>
      </c>
      <c r="T35">
        <v>3</v>
      </c>
      <c r="V35">
        <v>11</v>
      </c>
      <c r="W35">
        <f t="shared" si="8"/>
        <v>17</v>
      </c>
      <c r="Y35" s="4">
        <v>1993</v>
      </c>
      <c r="AE35">
        <f t="shared" si="9"/>
        <v>0</v>
      </c>
      <c r="AG35" s="4">
        <v>1993</v>
      </c>
      <c r="AH35">
        <v>15</v>
      </c>
      <c r="AI35">
        <v>31</v>
      </c>
      <c r="AJ35">
        <v>25</v>
      </c>
      <c r="AK35">
        <v>13</v>
      </c>
      <c r="AL35">
        <v>132</v>
      </c>
      <c r="AM35">
        <f t="shared" si="10"/>
        <v>216</v>
      </c>
      <c r="AO35" s="4">
        <v>1993</v>
      </c>
      <c r="AU35">
        <f t="shared" si="11"/>
        <v>0</v>
      </c>
    </row>
    <row r="36" spans="1:47" ht="12.75">
      <c r="A36" s="4">
        <v>1994</v>
      </c>
      <c r="B36">
        <v>18</v>
      </c>
      <c r="C36">
        <v>36</v>
      </c>
      <c r="D36">
        <v>54</v>
      </c>
      <c r="E36">
        <v>32</v>
      </c>
      <c r="F36">
        <v>222</v>
      </c>
      <c r="G36">
        <f t="shared" si="6"/>
        <v>362</v>
      </c>
      <c r="I36" s="4">
        <v>1994</v>
      </c>
      <c r="J36">
        <v>15</v>
      </c>
      <c r="K36">
        <v>18</v>
      </c>
      <c r="L36">
        <v>42</v>
      </c>
      <c r="M36">
        <v>54</v>
      </c>
      <c r="N36">
        <v>135</v>
      </c>
      <c r="O36">
        <f t="shared" si="7"/>
        <v>264</v>
      </c>
      <c r="Q36" s="4">
        <v>1994</v>
      </c>
      <c r="R36">
        <v>1</v>
      </c>
      <c r="S36">
        <v>1</v>
      </c>
      <c r="T36">
        <v>6</v>
      </c>
      <c r="U36">
        <v>1</v>
      </c>
      <c r="V36">
        <v>16</v>
      </c>
      <c r="W36">
        <f t="shared" si="8"/>
        <v>25</v>
      </c>
      <c r="Y36" s="4">
        <v>1994</v>
      </c>
      <c r="AB36">
        <v>1</v>
      </c>
      <c r="AE36">
        <f t="shared" si="9"/>
        <v>1</v>
      </c>
      <c r="AG36" s="4">
        <v>1994</v>
      </c>
      <c r="AH36">
        <v>12</v>
      </c>
      <c r="AI36">
        <v>23</v>
      </c>
      <c r="AJ36">
        <v>27</v>
      </c>
      <c r="AK36">
        <v>13</v>
      </c>
      <c r="AL36">
        <v>134</v>
      </c>
      <c r="AM36">
        <f t="shared" si="10"/>
        <v>209</v>
      </c>
      <c r="AO36" s="4">
        <v>1994</v>
      </c>
      <c r="AU36">
        <f t="shared" si="11"/>
        <v>0</v>
      </c>
    </row>
    <row r="37" spans="1:47" ht="12.75">
      <c r="A37" s="4">
        <v>1995</v>
      </c>
      <c r="B37">
        <v>11</v>
      </c>
      <c r="C37">
        <v>37</v>
      </c>
      <c r="D37">
        <v>64</v>
      </c>
      <c r="E37">
        <v>28</v>
      </c>
      <c r="F37">
        <v>225</v>
      </c>
      <c r="G37">
        <f t="shared" si="6"/>
        <v>365</v>
      </c>
      <c r="I37" s="4">
        <v>1995</v>
      </c>
      <c r="J37">
        <v>5</v>
      </c>
      <c r="K37">
        <v>26</v>
      </c>
      <c r="L37">
        <v>22</v>
      </c>
      <c r="M37">
        <v>54</v>
      </c>
      <c r="N37">
        <v>143</v>
      </c>
      <c r="O37">
        <f t="shared" si="7"/>
        <v>250</v>
      </c>
      <c r="Q37" s="4">
        <v>1995</v>
      </c>
      <c r="R37">
        <v>2</v>
      </c>
      <c r="S37">
        <v>1</v>
      </c>
      <c r="T37">
        <v>1</v>
      </c>
      <c r="V37">
        <v>15</v>
      </c>
      <c r="W37">
        <f t="shared" si="8"/>
        <v>19</v>
      </c>
      <c r="Y37" s="4">
        <v>1995</v>
      </c>
      <c r="AA37">
        <v>1</v>
      </c>
      <c r="AE37">
        <f t="shared" si="9"/>
        <v>1</v>
      </c>
      <c r="AG37" s="4">
        <v>1995</v>
      </c>
      <c r="AH37">
        <v>14</v>
      </c>
      <c r="AI37">
        <v>22</v>
      </c>
      <c r="AJ37">
        <v>16</v>
      </c>
      <c r="AK37">
        <v>10</v>
      </c>
      <c r="AL37">
        <v>140</v>
      </c>
      <c r="AM37">
        <f t="shared" si="10"/>
        <v>202</v>
      </c>
      <c r="AO37" s="4">
        <v>1995</v>
      </c>
      <c r="AU37">
        <f t="shared" si="11"/>
        <v>0</v>
      </c>
    </row>
    <row r="38" spans="1:47" ht="12.75">
      <c r="A38" s="4">
        <v>1996</v>
      </c>
      <c r="B38">
        <v>42</v>
      </c>
      <c r="C38">
        <v>64</v>
      </c>
      <c r="D38">
        <v>93</v>
      </c>
      <c r="E38">
        <v>50</v>
      </c>
      <c r="F38">
        <v>136</v>
      </c>
      <c r="G38">
        <f t="shared" si="6"/>
        <v>385</v>
      </c>
      <c r="I38" s="4">
        <v>1996</v>
      </c>
      <c r="J38">
        <v>34</v>
      </c>
      <c r="K38">
        <v>37</v>
      </c>
      <c r="L38">
        <v>33</v>
      </c>
      <c r="M38">
        <v>82</v>
      </c>
      <c r="N38">
        <v>96</v>
      </c>
      <c r="O38">
        <f t="shared" si="7"/>
        <v>282</v>
      </c>
      <c r="Q38" s="4">
        <v>1996</v>
      </c>
      <c r="R38">
        <v>10</v>
      </c>
      <c r="S38">
        <v>1</v>
      </c>
      <c r="T38">
        <v>6</v>
      </c>
      <c r="U38">
        <v>5</v>
      </c>
      <c r="V38">
        <v>12</v>
      </c>
      <c r="W38">
        <f t="shared" si="8"/>
        <v>34</v>
      </c>
      <c r="Y38" s="4">
        <v>1996</v>
      </c>
      <c r="AB38">
        <v>1</v>
      </c>
      <c r="AC38">
        <v>1</v>
      </c>
      <c r="AE38">
        <f t="shared" si="9"/>
        <v>2</v>
      </c>
      <c r="AG38" s="4">
        <v>1996</v>
      </c>
      <c r="AH38">
        <v>39</v>
      </c>
      <c r="AI38">
        <v>54</v>
      </c>
      <c r="AJ38">
        <v>37</v>
      </c>
      <c r="AK38">
        <v>44</v>
      </c>
      <c r="AL38">
        <v>121</v>
      </c>
      <c r="AM38">
        <f t="shared" si="10"/>
        <v>295</v>
      </c>
      <c r="AO38" s="4">
        <v>1996</v>
      </c>
      <c r="AU38">
        <f t="shared" si="11"/>
        <v>0</v>
      </c>
    </row>
    <row r="39" spans="1:47" ht="12.75">
      <c r="A39" s="4">
        <v>1997</v>
      </c>
      <c r="B39">
        <v>42</v>
      </c>
      <c r="C39">
        <v>93</v>
      </c>
      <c r="D39">
        <v>125</v>
      </c>
      <c r="E39">
        <v>64</v>
      </c>
      <c r="F39">
        <v>163</v>
      </c>
      <c r="G39">
        <f t="shared" si="6"/>
        <v>487</v>
      </c>
      <c r="I39" s="4">
        <v>1997</v>
      </c>
      <c r="J39">
        <v>33</v>
      </c>
      <c r="K39">
        <v>46</v>
      </c>
      <c r="L39">
        <v>33</v>
      </c>
      <c r="M39">
        <v>117</v>
      </c>
      <c r="N39">
        <v>68</v>
      </c>
      <c r="O39">
        <f t="shared" si="7"/>
        <v>297</v>
      </c>
      <c r="Q39" s="4">
        <v>1997</v>
      </c>
      <c r="R39">
        <v>5</v>
      </c>
      <c r="T39">
        <v>8</v>
      </c>
      <c r="U39">
        <v>3</v>
      </c>
      <c r="V39">
        <v>14</v>
      </c>
      <c r="W39">
        <f t="shared" si="8"/>
        <v>30</v>
      </c>
      <c r="Y39" s="4">
        <v>1997</v>
      </c>
      <c r="AB39">
        <v>1</v>
      </c>
      <c r="AD39">
        <v>1</v>
      </c>
      <c r="AE39">
        <f t="shared" si="9"/>
        <v>2</v>
      </c>
      <c r="AG39" s="4">
        <v>1997</v>
      </c>
      <c r="AH39">
        <v>49</v>
      </c>
      <c r="AI39">
        <v>50</v>
      </c>
      <c r="AJ39">
        <v>56</v>
      </c>
      <c r="AK39">
        <v>44</v>
      </c>
      <c r="AL39">
        <v>134</v>
      </c>
      <c r="AM39">
        <f t="shared" si="10"/>
        <v>333</v>
      </c>
      <c r="AO39" s="4">
        <v>1997</v>
      </c>
      <c r="AU39">
        <f t="shared" si="11"/>
        <v>0</v>
      </c>
    </row>
    <row r="40" spans="1:47" ht="12.75">
      <c r="A40" s="4">
        <v>1998</v>
      </c>
      <c r="B40">
        <v>71</v>
      </c>
      <c r="C40">
        <v>123</v>
      </c>
      <c r="D40">
        <v>162</v>
      </c>
      <c r="E40">
        <v>105</v>
      </c>
      <c r="F40">
        <v>183</v>
      </c>
      <c r="G40">
        <f t="shared" si="6"/>
        <v>644</v>
      </c>
      <c r="I40" s="4">
        <v>1998</v>
      </c>
      <c r="J40">
        <v>56</v>
      </c>
      <c r="K40">
        <v>75</v>
      </c>
      <c r="L40">
        <v>61</v>
      </c>
      <c r="M40">
        <v>152</v>
      </c>
      <c r="N40">
        <v>88</v>
      </c>
      <c r="O40">
        <f t="shared" si="7"/>
        <v>432</v>
      </c>
      <c r="Q40" s="4">
        <v>1998</v>
      </c>
      <c r="R40">
        <v>3</v>
      </c>
      <c r="S40">
        <v>8</v>
      </c>
      <c r="T40">
        <v>2</v>
      </c>
      <c r="U40">
        <v>4</v>
      </c>
      <c r="V40">
        <v>12</v>
      </c>
      <c r="W40">
        <f t="shared" si="8"/>
        <v>29</v>
      </c>
      <c r="Y40" s="4">
        <v>1998</v>
      </c>
      <c r="AA40">
        <v>1</v>
      </c>
      <c r="AD40">
        <v>2</v>
      </c>
      <c r="AE40">
        <f t="shared" si="9"/>
        <v>3</v>
      </c>
      <c r="AG40" s="4">
        <v>1998</v>
      </c>
      <c r="AH40">
        <v>60</v>
      </c>
      <c r="AI40">
        <v>51</v>
      </c>
      <c r="AJ40">
        <v>58</v>
      </c>
      <c r="AK40">
        <v>61</v>
      </c>
      <c r="AL40">
        <v>162</v>
      </c>
      <c r="AM40">
        <f t="shared" si="10"/>
        <v>392</v>
      </c>
      <c r="AO40" s="4">
        <v>1998</v>
      </c>
      <c r="AU40">
        <f t="shared" si="11"/>
        <v>0</v>
      </c>
    </row>
    <row r="41" spans="1:47" ht="12.75">
      <c r="A41" s="4">
        <v>1999</v>
      </c>
      <c r="B41">
        <v>101</v>
      </c>
      <c r="C41">
        <v>131</v>
      </c>
      <c r="D41">
        <v>201</v>
      </c>
      <c r="E41">
        <v>142</v>
      </c>
      <c r="F41">
        <v>233</v>
      </c>
      <c r="G41">
        <f t="shared" si="6"/>
        <v>808</v>
      </c>
      <c r="I41" s="4">
        <v>1999</v>
      </c>
      <c r="J41">
        <v>67</v>
      </c>
      <c r="K41">
        <v>79</v>
      </c>
      <c r="L41">
        <v>76</v>
      </c>
      <c r="M41">
        <v>267</v>
      </c>
      <c r="N41">
        <v>122</v>
      </c>
      <c r="O41">
        <f t="shared" si="7"/>
        <v>611</v>
      </c>
      <c r="Q41" s="4">
        <v>1999</v>
      </c>
      <c r="R41">
        <v>7</v>
      </c>
      <c r="S41">
        <v>8</v>
      </c>
      <c r="T41">
        <v>6</v>
      </c>
      <c r="U41">
        <v>5</v>
      </c>
      <c r="V41">
        <v>14</v>
      </c>
      <c r="W41">
        <f t="shared" si="8"/>
        <v>40</v>
      </c>
      <c r="Y41" s="4">
        <v>1999</v>
      </c>
      <c r="AC41">
        <v>1</v>
      </c>
      <c r="AD41">
        <v>2</v>
      </c>
      <c r="AE41">
        <f t="shared" si="9"/>
        <v>3</v>
      </c>
      <c r="AG41" s="4">
        <v>1999</v>
      </c>
      <c r="AH41">
        <v>66</v>
      </c>
      <c r="AI41">
        <v>80</v>
      </c>
      <c r="AJ41">
        <v>90</v>
      </c>
      <c r="AK41">
        <v>102</v>
      </c>
      <c r="AL41">
        <v>190</v>
      </c>
      <c r="AM41">
        <f t="shared" si="10"/>
        <v>528</v>
      </c>
      <c r="AO41" s="4">
        <v>1999</v>
      </c>
      <c r="AU41">
        <f t="shared" si="11"/>
        <v>0</v>
      </c>
    </row>
    <row r="42" spans="1:41" ht="12.75">
      <c r="A42" s="4" t="s">
        <v>13</v>
      </c>
      <c r="B42" s="2">
        <f>SUM(B25:B41)</f>
        <v>621</v>
      </c>
      <c r="C42" s="2">
        <f>SUM(C25:C41)</f>
        <v>1050</v>
      </c>
      <c r="D42" s="2">
        <f>SUM(D25:D41)</f>
        <v>1117</v>
      </c>
      <c r="E42" s="2">
        <f>SUM(E25:E41)</f>
        <v>550</v>
      </c>
      <c r="F42" s="2">
        <f>SUM(F25:F41)</f>
        <v>1885</v>
      </c>
      <c r="G42" s="2">
        <f>SUM(G25:G41)</f>
        <v>5223</v>
      </c>
      <c r="I42" s="4" t="s">
        <v>13</v>
      </c>
      <c r="J42" s="2">
        <f>SUM(J25:J41)</f>
        <v>426</v>
      </c>
      <c r="K42" s="2">
        <f>SUM(K25:K41)</f>
        <v>612</v>
      </c>
      <c r="L42" s="2">
        <f>SUM(L25:L41)</f>
        <v>442</v>
      </c>
      <c r="M42" s="2">
        <f>SUM(M25:M41)</f>
        <v>866</v>
      </c>
      <c r="N42" s="2">
        <f>SUM(N25:N41)</f>
        <v>1039</v>
      </c>
      <c r="O42" s="2">
        <f>SUM(O25:O41)</f>
        <v>3385</v>
      </c>
      <c r="Q42" s="4" t="s">
        <v>13</v>
      </c>
      <c r="R42" s="2">
        <f>SUM(R25:R41)</f>
        <v>40</v>
      </c>
      <c r="S42" s="2">
        <f>SUM(S25:S41)</f>
        <v>43</v>
      </c>
      <c r="T42" s="2">
        <f>SUM(T25:T41)</f>
        <v>38</v>
      </c>
      <c r="U42" s="2">
        <f>SUM(U25:U41)</f>
        <v>21</v>
      </c>
      <c r="V42" s="2">
        <f>SUM(V25:V41)</f>
        <v>118</v>
      </c>
      <c r="W42" s="2">
        <f>SUM(W25:W41)</f>
        <v>260</v>
      </c>
      <c r="Y42" s="4" t="s">
        <v>13</v>
      </c>
      <c r="Z42" s="2">
        <f>SUM(Z25:Z41)</f>
        <v>2</v>
      </c>
      <c r="AA42" s="2">
        <f>SUM(AA25:AA41)</f>
        <v>3</v>
      </c>
      <c r="AB42" s="2">
        <f>SUM(AB25:AB41)</f>
        <v>3</v>
      </c>
      <c r="AC42" s="2">
        <f>SUM(AC25:AC41)</f>
        <v>3</v>
      </c>
      <c r="AD42" s="2">
        <f>SUM(AD25:AD41)</f>
        <v>6</v>
      </c>
      <c r="AE42" s="2">
        <f>SUM(AE25:AE41)</f>
        <v>17</v>
      </c>
      <c r="AG42" s="4" t="s">
        <v>13</v>
      </c>
      <c r="AH42" s="2">
        <f>SUM(AH25:AH41)</f>
        <v>528</v>
      </c>
      <c r="AI42" s="2">
        <f>SUM(AI25:AI41)</f>
        <v>655</v>
      </c>
      <c r="AJ42" s="2">
        <f>SUM(AJ25:AJ41)</f>
        <v>478</v>
      </c>
      <c r="AK42" s="2">
        <f>SUM(AK25:AK41)</f>
        <v>350</v>
      </c>
      <c r="AL42" s="2">
        <f>SUM(AL25:AL41)</f>
        <v>1334</v>
      </c>
      <c r="AM42" s="2">
        <f>SUM(AM25:AM41)</f>
        <v>3345</v>
      </c>
      <c r="AO42" s="4" t="s">
        <v>13</v>
      </c>
    </row>
    <row r="43" spans="9:41" ht="12.75">
      <c r="I43" s="4"/>
      <c r="Q43" s="4"/>
      <c r="Y43" s="4"/>
      <c r="AG43" s="4"/>
      <c r="AO43" s="4"/>
    </row>
    <row r="44" spans="1:41" ht="12.75">
      <c r="A44" s="4" t="s">
        <v>11</v>
      </c>
      <c r="I44" s="4" t="s">
        <v>12</v>
      </c>
      <c r="Q44" s="4" t="s">
        <v>28</v>
      </c>
      <c r="Y44" s="4" t="s">
        <v>29</v>
      </c>
      <c r="AG44" s="4" t="s">
        <v>26</v>
      </c>
      <c r="AO44" s="4" t="s">
        <v>27</v>
      </c>
    </row>
    <row r="45" spans="1:47" ht="12.75">
      <c r="A45" s="4" t="s">
        <v>2</v>
      </c>
      <c r="B45" s="12" t="s">
        <v>0</v>
      </c>
      <c r="C45" s="12" t="s">
        <v>5</v>
      </c>
      <c r="D45" s="12" t="s">
        <v>6</v>
      </c>
      <c r="E45" s="12" t="s">
        <v>1</v>
      </c>
      <c r="F45" s="12" t="s">
        <v>4</v>
      </c>
      <c r="G45" s="12" t="s">
        <v>13</v>
      </c>
      <c r="I45" s="4" t="s">
        <v>2</v>
      </c>
      <c r="J45" s="12" t="s">
        <v>0</v>
      </c>
      <c r="K45" s="12" t="s">
        <v>5</v>
      </c>
      <c r="L45" s="12" t="s">
        <v>6</v>
      </c>
      <c r="M45" s="12" t="s">
        <v>1</v>
      </c>
      <c r="N45" s="12" t="s">
        <v>4</v>
      </c>
      <c r="O45" s="12" t="s">
        <v>13</v>
      </c>
      <c r="Q45" s="4" t="s">
        <v>2</v>
      </c>
      <c r="R45" s="12" t="s">
        <v>0</v>
      </c>
      <c r="S45" s="12" t="s">
        <v>5</v>
      </c>
      <c r="T45" s="12" t="s">
        <v>6</v>
      </c>
      <c r="U45" s="12" t="s">
        <v>1</v>
      </c>
      <c r="V45" s="12" t="s">
        <v>4</v>
      </c>
      <c r="W45" s="12" t="s">
        <v>13</v>
      </c>
      <c r="Y45" s="4" t="s">
        <v>2</v>
      </c>
      <c r="Z45" s="12" t="s">
        <v>0</v>
      </c>
      <c r="AA45" s="12" t="s">
        <v>5</v>
      </c>
      <c r="AB45" s="12" t="s">
        <v>6</v>
      </c>
      <c r="AC45" s="12" t="s">
        <v>1</v>
      </c>
      <c r="AD45" s="12" t="s">
        <v>4</v>
      </c>
      <c r="AE45" s="12" t="s">
        <v>13</v>
      </c>
      <c r="AG45" s="4" t="s">
        <v>2</v>
      </c>
      <c r="AH45" s="12" t="s">
        <v>0</v>
      </c>
      <c r="AI45" s="12" t="s">
        <v>5</v>
      </c>
      <c r="AJ45" s="12" t="s">
        <v>6</v>
      </c>
      <c r="AK45" s="12" t="s">
        <v>1</v>
      </c>
      <c r="AL45" s="12" t="s">
        <v>4</v>
      </c>
      <c r="AM45" s="12" t="s">
        <v>13</v>
      </c>
      <c r="AO45" s="4" t="s">
        <v>2</v>
      </c>
      <c r="AP45" s="12" t="s">
        <v>0</v>
      </c>
      <c r="AQ45" s="12" t="s">
        <v>5</v>
      </c>
      <c r="AR45" s="12" t="s">
        <v>6</v>
      </c>
      <c r="AS45" s="12" t="s">
        <v>1</v>
      </c>
      <c r="AT45" s="12" t="s">
        <v>4</v>
      </c>
      <c r="AU45" s="12" t="s">
        <v>13</v>
      </c>
    </row>
    <row r="46" spans="1:47" ht="12.75">
      <c r="A46" s="4">
        <v>1983</v>
      </c>
      <c r="B46">
        <v>2</v>
      </c>
      <c r="C46">
        <v>5</v>
      </c>
      <c r="D46">
        <v>3</v>
      </c>
      <c r="E46">
        <v>1</v>
      </c>
      <c r="F46">
        <v>1</v>
      </c>
      <c r="G46">
        <f>SUM(B46:F46)</f>
        <v>12</v>
      </c>
      <c r="I46" s="4">
        <v>1983</v>
      </c>
      <c r="J46">
        <v>3</v>
      </c>
      <c r="K46">
        <v>1</v>
      </c>
      <c r="O46">
        <f>SUM(J46:N46)</f>
        <v>4</v>
      </c>
      <c r="Q46" s="4">
        <v>1983</v>
      </c>
      <c r="S46">
        <v>1</v>
      </c>
      <c r="W46">
        <f>SUM(R46:V46)</f>
        <v>1</v>
      </c>
      <c r="Y46" s="4">
        <v>1983</v>
      </c>
      <c r="AE46">
        <f aca="true" t="shared" si="12" ref="AE46:AE61">SUM(Z46:AD46)</f>
        <v>0</v>
      </c>
      <c r="AG46" s="4">
        <v>1983</v>
      </c>
      <c r="AH46">
        <v>2</v>
      </c>
      <c r="AI46">
        <v>3</v>
      </c>
      <c r="AM46">
        <f>SUM(AH46:AL46)</f>
        <v>5</v>
      </c>
      <c r="AO46" s="4">
        <v>1983</v>
      </c>
      <c r="AU46">
        <f>SUM(AP46:AT46)</f>
        <v>0</v>
      </c>
    </row>
    <row r="47" spans="1:47" ht="12.75">
      <c r="A47" s="4">
        <v>1984</v>
      </c>
      <c r="G47">
        <f aca="true" t="shared" si="13" ref="G47:G62">SUM(B47:F47)</f>
        <v>0</v>
      </c>
      <c r="I47" s="4">
        <v>1984</v>
      </c>
      <c r="O47">
        <f aca="true" t="shared" si="14" ref="O47:O62">SUM(J47:N47)</f>
        <v>0</v>
      </c>
      <c r="Q47" s="4">
        <v>1984</v>
      </c>
      <c r="W47">
        <f aca="true" t="shared" si="15" ref="W47:W62">SUM(R47:V47)</f>
        <v>0</v>
      </c>
      <c r="Y47" s="4">
        <v>1984</v>
      </c>
      <c r="AE47">
        <f t="shared" si="12"/>
        <v>0</v>
      </c>
      <c r="AG47" s="4">
        <v>1984</v>
      </c>
      <c r="AM47">
        <f aca="true" t="shared" si="16" ref="AM47:AM62">SUM(AH47:AL47)</f>
        <v>0</v>
      </c>
      <c r="AO47" s="4">
        <v>1984</v>
      </c>
      <c r="AU47">
        <f aca="true" t="shared" si="17" ref="AU47:AU62">SUM(AP47:AT47)</f>
        <v>0</v>
      </c>
    </row>
    <row r="48" spans="1:47" ht="12.75">
      <c r="A48" s="4">
        <v>1985</v>
      </c>
      <c r="B48">
        <v>2</v>
      </c>
      <c r="C48">
        <v>13</v>
      </c>
      <c r="D48">
        <v>2</v>
      </c>
      <c r="E48">
        <v>1</v>
      </c>
      <c r="F48">
        <v>4</v>
      </c>
      <c r="G48">
        <f t="shared" si="13"/>
        <v>22</v>
      </c>
      <c r="I48" s="4">
        <v>1985</v>
      </c>
      <c r="J48">
        <v>2</v>
      </c>
      <c r="K48">
        <v>4</v>
      </c>
      <c r="L48">
        <v>1</v>
      </c>
      <c r="N48">
        <v>1</v>
      </c>
      <c r="O48">
        <f t="shared" si="14"/>
        <v>8</v>
      </c>
      <c r="Q48" s="4">
        <v>1985</v>
      </c>
      <c r="W48">
        <f t="shared" si="15"/>
        <v>0</v>
      </c>
      <c r="Y48" s="4">
        <v>1985</v>
      </c>
      <c r="AE48">
        <f t="shared" si="12"/>
        <v>0</v>
      </c>
      <c r="AG48" s="4">
        <v>1985</v>
      </c>
      <c r="AH48">
        <v>2</v>
      </c>
      <c r="AJ48">
        <v>1</v>
      </c>
      <c r="AL48">
        <v>1</v>
      </c>
      <c r="AM48">
        <f t="shared" si="16"/>
        <v>4</v>
      </c>
      <c r="AO48" s="4">
        <v>1985</v>
      </c>
      <c r="AU48">
        <f t="shared" si="17"/>
        <v>0</v>
      </c>
    </row>
    <row r="49" spans="1:47" ht="12.75">
      <c r="A49" s="4">
        <v>1986</v>
      </c>
      <c r="B49">
        <v>2</v>
      </c>
      <c r="C49">
        <v>10</v>
      </c>
      <c r="D49">
        <v>5</v>
      </c>
      <c r="E49">
        <v>4</v>
      </c>
      <c r="F49">
        <v>5</v>
      </c>
      <c r="G49">
        <f t="shared" si="13"/>
        <v>26</v>
      </c>
      <c r="I49" s="4">
        <v>1986</v>
      </c>
      <c r="J49">
        <v>2</v>
      </c>
      <c r="K49">
        <v>3</v>
      </c>
      <c r="L49">
        <v>2</v>
      </c>
      <c r="M49">
        <v>2</v>
      </c>
      <c r="N49">
        <v>2</v>
      </c>
      <c r="O49">
        <f t="shared" si="14"/>
        <v>11</v>
      </c>
      <c r="Q49" s="4">
        <v>1986</v>
      </c>
      <c r="W49">
        <f t="shared" si="15"/>
        <v>0</v>
      </c>
      <c r="Y49" s="4">
        <v>1986</v>
      </c>
      <c r="AE49">
        <f t="shared" si="12"/>
        <v>0</v>
      </c>
      <c r="AG49" s="4">
        <v>1986</v>
      </c>
      <c r="AH49">
        <v>2</v>
      </c>
      <c r="AI49">
        <v>5</v>
      </c>
      <c r="AJ49">
        <v>1</v>
      </c>
      <c r="AL49">
        <v>3</v>
      </c>
      <c r="AM49">
        <f t="shared" si="16"/>
        <v>11</v>
      </c>
      <c r="AO49" s="4">
        <v>1986</v>
      </c>
      <c r="AU49">
        <f t="shared" si="17"/>
        <v>0</v>
      </c>
    </row>
    <row r="50" spans="1:47" ht="12.75">
      <c r="A50" s="4">
        <v>1987</v>
      </c>
      <c r="B50">
        <v>4</v>
      </c>
      <c r="C50">
        <v>12</v>
      </c>
      <c r="D50">
        <v>10</v>
      </c>
      <c r="E50">
        <v>7</v>
      </c>
      <c r="F50">
        <v>6</v>
      </c>
      <c r="G50">
        <f t="shared" si="13"/>
        <v>39</v>
      </c>
      <c r="I50" s="4">
        <v>1987</v>
      </c>
      <c r="K50">
        <v>2</v>
      </c>
      <c r="L50">
        <v>2</v>
      </c>
      <c r="O50">
        <f t="shared" si="14"/>
        <v>4</v>
      </c>
      <c r="Q50" s="4">
        <v>1987</v>
      </c>
      <c r="W50">
        <f t="shared" si="15"/>
        <v>0</v>
      </c>
      <c r="Y50" s="4">
        <v>1987</v>
      </c>
      <c r="AB50">
        <v>1</v>
      </c>
      <c r="AE50">
        <f t="shared" si="12"/>
        <v>1</v>
      </c>
      <c r="AG50" s="4">
        <v>1987</v>
      </c>
      <c r="AI50">
        <v>5</v>
      </c>
      <c r="AJ50">
        <v>3</v>
      </c>
      <c r="AM50">
        <f t="shared" si="16"/>
        <v>8</v>
      </c>
      <c r="AO50" s="4">
        <v>1987</v>
      </c>
      <c r="AU50">
        <f t="shared" si="17"/>
        <v>0</v>
      </c>
    </row>
    <row r="51" spans="1:47" ht="12.75">
      <c r="A51" s="4">
        <v>1988</v>
      </c>
      <c r="B51">
        <v>2</v>
      </c>
      <c r="C51">
        <v>3</v>
      </c>
      <c r="D51">
        <v>3</v>
      </c>
      <c r="F51">
        <v>1</v>
      </c>
      <c r="G51">
        <f t="shared" si="13"/>
        <v>9</v>
      </c>
      <c r="I51" s="4">
        <v>1988</v>
      </c>
      <c r="K51">
        <v>1</v>
      </c>
      <c r="L51">
        <v>1</v>
      </c>
      <c r="O51">
        <f t="shared" si="14"/>
        <v>2</v>
      </c>
      <c r="Q51" s="4">
        <v>1988</v>
      </c>
      <c r="W51">
        <f t="shared" si="15"/>
        <v>0</v>
      </c>
      <c r="Y51" s="4">
        <v>1988</v>
      </c>
      <c r="AE51">
        <f t="shared" si="12"/>
        <v>0</v>
      </c>
      <c r="AG51" s="4">
        <v>1988</v>
      </c>
      <c r="AH51">
        <v>2</v>
      </c>
      <c r="AI51">
        <v>2</v>
      </c>
      <c r="AM51">
        <f t="shared" si="16"/>
        <v>4</v>
      </c>
      <c r="AO51" s="4">
        <v>1988</v>
      </c>
      <c r="AU51">
        <f t="shared" si="17"/>
        <v>0</v>
      </c>
    </row>
    <row r="52" spans="1:47" ht="12.75">
      <c r="A52" s="4">
        <v>1989</v>
      </c>
      <c r="G52">
        <f t="shared" si="13"/>
        <v>0</v>
      </c>
      <c r="I52" s="4">
        <v>1989</v>
      </c>
      <c r="O52">
        <f t="shared" si="14"/>
        <v>0</v>
      </c>
      <c r="Q52" s="4">
        <v>1989</v>
      </c>
      <c r="W52">
        <f t="shared" si="15"/>
        <v>0</v>
      </c>
      <c r="Y52" s="4">
        <v>1989</v>
      </c>
      <c r="AE52">
        <f t="shared" si="12"/>
        <v>0</v>
      </c>
      <c r="AG52" s="4">
        <v>1989</v>
      </c>
      <c r="AM52">
        <f t="shared" si="16"/>
        <v>0</v>
      </c>
      <c r="AO52" s="4">
        <v>1989</v>
      </c>
      <c r="AU52">
        <f t="shared" si="17"/>
        <v>0</v>
      </c>
    </row>
    <row r="53" spans="1:47" ht="12.75">
      <c r="A53" s="4">
        <v>1990</v>
      </c>
      <c r="C53">
        <v>1</v>
      </c>
      <c r="G53">
        <f t="shared" si="13"/>
        <v>1</v>
      </c>
      <c r="I53" s="4">
        <v>1990</v>
      </c>
      <c r="J53">
        <v>1</v>
      </c>
      <c r="O53">
        <f t="shared" si="14"/>
        <v>1</v>
      </c>
      <c r="Q53" s="4">
        <v>1990</v>
      </c>
      <c r="W53">
        <f t="shared" si="15"/>
        <v>0</v>
      </c>
      <c r="Y53" s="4">
        <v>1990</v>
      </c>
      <c r="AE53">
        <f t="shared" si="12"/>
        <v>0</v>
      </c>
      <c r="AG53" s="4">
        <v>1990</v>
      </c>
      <c r="AI53">
        <v>1</v>
      </c>
      <c r="AM53">
        <f t="shared" si="16"/>
        <v>1</v>
      </c>
      <c r="AO53" s="4">
        <v>1990</v>
      </c>
      <c r="AU53">
        <f t="shared" si="17"/>
        <v>0</v>
      </c>
    </row>
    <row r="54" spans="1:47" ht="12.75">
      <c r="A54" s="4">
        <v>1991</v>
      </c>
      <c r="B54">
        <v>2</v>
      </c>
      <c r="C54">
        <v>5</v>
      </c>
      <c r="D54">
        <v>3</v>
      </c>
      <c r="E54">
        <v>2</v>
      </c>
      <c r="F54">
        <v>1</v>
      </c>
      <c r="G54">
        <f t="shared" si="13"/>
        <v>13</v>
      </c>
      <c r="I54" s="4">
        <v>1991</v>
      </c>
      <c r="K54">
        <v>3</v>
      </c>
      <c r="M54">
        <v>3</v>
      </c>
      <c r="N54">
        <v>1</v>
      </c>
      <c r="O54">
        <f t="shared" si="14"/>
        <v>7</v>
      </c>
      <c r="Q54" s="4">
        <v>1991</v>
      </c>
      <c r="W54">
        <f t="shared" si="15"/>
        <v>0</v>
      </c>
      <c r="Y54" s="4">
        <v>1991</v>
      </c>
      <c r="AE54">
        <f t="shared" si="12"/>
        <v>0</v>
      </c>
      <c r="AG54" s="4">
        <v>1991</v>
      </c>
      <c r="AH54">
        <v>2</v>
      </c>
      <c r="AI54">
        <v>2</v>
      </c>
      <c r="AK54">
        <v>1</v>
      </c>
      <c r="AL54">
        <v>1</v>
      </c>
      <c r="AM54">
        <f t="shared" si="16"/>
        <v>6</v>
      </c>
      <c r="AO54" s="4">
        <v>1991</v>
      </c>
      <c r="AU54">
        <f t="shared" si="17"/>
        <v>0</v>
      </c>
    </row>
    <row r="55" spans="1:47" ht="12.75">
      <c r="A55" s="4">
        <v>1992</v>
      </c>
      <c r="B55">
        <v>3</v>
      </c>
      <c r="C55">
        <v>4</v>
      </c>
      <c r="D55">
        <v>4</v>
      </c>
      <c r="E55">
        <v>2</v>
      </c>
      <c r="F55">
        <v>14</v>
      </c>
      <c r="G55">
        <f t="shared" si="13"/>
        <v>27</v>
      </c>
      <c r="I55" s="4">
        <v>1992</v>
      </c>
      <c r="J55">
        <v>1</v>
      </c>
      <c r="K55">
        <v>2</v>
      </c>
      <c r="L55">
        <v>1</v>
      </c>
      <c r="M55">
        <v>4</v>
      </c>
      <c r="N55">
        <v>4</v>
      </c>
      <c r="O55">
        <f t="shared" si="14"/>
        <v>12</v>
      </c>
      <c r="Q55" s="4">
        <v>1992</v>
      </c>
      <c r="R55">
        <v>1</v>
      </c>
      <c r="V55">
        <v>1</v>
      </c>
      <c r="W55">
        <f t="shared" si="15"/>
        <v>2</v>
      </c>
      <c r="Y55" s="4">
        <v>1992</v>
      </c>
      <c r="AE55">
        <f t="shared" si="12"/>
        <v>0</v>
      </c>
      <c r="AG55" s="4">
        <v>1992</v>
      </c>
      <c r="AH55">
        <v>2</v>
      </c>
      <c r="AI55">
        <v>5</v>
      </c>
      <c r="AJ55">
        <v>3</v>
      </c>
      <c r="AK55">
        <v>1</v>
      </c>
      <c r="AL55">
        <v>6</v>
      </c>
      <c r="AM55">
        <f t="shared" si="16"/>
        <v>17</v>
      </c>
      <c r="AO55" s="4">
        <v>1992</v>
      </c>
      <c r="AU55">
        <f t="shared" si="17"/>
        <v>0</v>
      </c>
    </row>
    <row r="56" spans="1:47" ht="12.75">
      <c r="A56" s="4">
        <v>1993</v>
      </c>
      <c r="C56">
        <v>6</v>
      </c>
      <c r="D56">
        <v>4</v>
      </c>
      <c r="E56">
        <v>4</v>
      </c>
      <c r="F56">
        <v>8</v>
      </c>
      <c r="G56">
        <f t="shared" si="13"/>
        <v>22</v>
      </c>
      <c r="I56" s="4">
        <v>1993</v>
      </c>
      <c r="J56">
        <v>1</v>
      </c>
      <c r="K56">
        <v>1</v>
      </c>
      <c r="L56">
        <v>2</v>
      </c>
      <c r="M56">
        <v>4</v>
      </c>
      <c r="N56">
        <v>3</v>
      </c>
      <c r="O56">
        <f t="shared" si="14"/>
        <v>11</v>
      </c>
      <c r="Q56" s="4">
        <v>1993</v>
      </c>
      <c r="V56">
        <v>1</v>
      </c>
      <c r="W56">
        <f t="shared" si="15"/>
        <v>1</v>
      </c>
      <c r="Y56" s="4">
        <v>1993</v>
      </c>
      <c r="AE56">
        <f t="shared" si="12"/>
        <v>0</v>
      </c>
      <c r="AG56" s="4">
        <v>1993</v>
      </c>
      <c r="AH56">
        <v>3</v>
      </c>
      <c r="AI56">
        <v>4</v>
      </c>
      <c r="AJ56">
        <v>1</v>
      </c>
      <c r="AK56">
        <v>1</v>
      </c>
      <c r="AL56">
        <v>6</v>
      </c>
      <c r="AM56">
        <f t="shared" si="16"/>
        <v>15</v>
      </c>
      <c r="AO56" s="4">
        <v>1993</v>
      </c>
      <c r="AU56">
        <f t="shared" si="17"/>
        <v>0</v>
      </c>
    </row>
    <row r="57" spans="1:47" ht="12.75">
      <c r="A57" s="4">
        <v>1994</v>
      </c>
      <c r="B57">
        <v>1</v>
      </c>
      <c r="C57">
        <v>3</v>
      </c>
      <c r="D57">
        <v>2</v>
      </c>
      <c r="E57">
        <v>2</v>
      </c>
      <c r="F57">
        <v>8</v>
      </c>
      <c r="G57">
        <f t="shared" si="13"/>
        <v>16</v>
      </c>
      <c r="I57" s="4">
        <v>1994</v>
      </c>
      <c r="K57">
        <v>2</v>
      </c>
      <c r="L57">
        <v>3</v>
      </c>
      <c r="M57">
        <v>1</v>
      </c>
      <c r="N57">
        <v>2</v>
      </c>
      <c r="O57">
        <f t="shared" si="14"/>
        <v>8</v>
      </c>
      <c r="Q57" s="4">
        <v>1994</v>
      </c>
      <c r="T57">
        <v>3</v>
      </c>
      <c r="W57">
        <f t="shared" si="15"/>
        <v>3</v>
      </c>
      <c r="Y57" s="4">
        <v>1994</v>
      </c>
      <c r="AE57">
        <f t="shared" si="12"/>
        <v>0</v>
      </c>
      <c r="AG57" s="4">
        <v>1994</v>
      </c>
      <c r="AK57">
        <v>1</v>
      </c>
      <c r="AL57">
        <v>4</v>
      </c>
      <c r="AM57">
        <f t="shared" si="16"/>
        <v>5</v>
      </c>
      <c r="AO57" s="4">
        <v>1994</v>
      </c>
      <c r="AU57">
        <f t="shared" si="17"/>
        <v>0</v>
      </c>
    </row>
    <row r="58" spans="1:47" ht="12.75">
      <c r="A58" s="4">
        <v>1995</v>
      </c>
      <c r="B58">
        <v>2</v>
      </c>
      <c r="C58">
        <v>4</v>
      </c>
      <c r="D58">
        <v>7</v>
      </c>
      <c r="E58">
        <v>2</v>
      </c>
      <c r="F58">
        <v>6</v>
      </c>
      <c r="G58">
        <f t="shared" si="13"/>
        <v>21</v>
      </c>
      <c r="I58" s="4">
        <v>1995</v>
      </c>
      <c r="J58">
        <v>1</v>
      </c>
      <c r="K58">
        <v>2</v>
      </c>
      <c r="O58">
        <f t="shared" si="14"/>
        <v>3</v>
      </c>
      <c r="Q58" s="4">
        <v>1995</v>
      </c>
      <c r="U58">
        <v>1</v>
      </c>
      <c r="V58">
        <v>1</v>
      </c>
      <c r="W58">
        <f t="shared" si="15"/>
        <v>2</v>
      </c>
      <c r="Y58" s="4">
        <v>1995</v>
      </c>
      <c r="AE58">
        <f t="shared" si="12"/>
        <v>0</v>
      </c>
      <c r="AG58" s="4">
        <v>1995</v>
      </c>
      <c r="AI58">
        <v>3</v>
      </c>
      <c r="AJ58">
        <v>1</v>
      </c>
      <c r="AK58">
        <v>2</v>
      </c>
      <c r="AM58">
        <f t="shared" si="16"/>
        <v>6</v>
      </c>
      <c r="AO58" s="4">
        <v>1995</v>
      </c>
      <c r="AU58">
        <f t="shared" si="17"/>
        <v>0</v>
      </c>
    </row>
    <row r="59" spans="1:47" ht="12.75">
      <c r="A59" s="4">
        <v>1996</v>
      </c>
      <c r="B59">
        <v>4</v>
      </c>
      <c r="C59">
        <v>5</v>
      </c>
      <c r="D59">
        <v>4</v>
      </c>
      <c r="E59">
        <v>6</v>
      </c>
      <c r="F59">
        <v>6</v>
      </c>
      <c r="G59">
        <f t="shared" si="13"/>
        <v>25</v>
      </c>
      <c r="I59" s="4">
        <v>1996</v>
      </c>
      <c r="J59">
        <v>1</v>
      </c>
      <c r="L59">
        <v>1</v>
      </c>
      <c r="M59">
        <v>13</v>
      </c>
      <c r="N59">
        <v>2</v>
      </c>
      <c r="O59">
        <f t="shared" si="14"/>
        <v>17</v>
      </c>
      <c r="Q59" s="4">
        <v>1996</v>
      </c>
      <c r="W59">
        <f t="shared" si="15"/>
        <v>0</v>
      </c>
      <c r="Y59" s="4">
        <v>1996</v>
      </c>
      <c r="AE59">
        <f t="shared" si="12"/>
        <v>0</v>
      </c>
      <c r="AG59" s="4">
        <v>1996</v>
      </c>
      <c r="AH59">
        <v>3</v>
      </c>
      <c r="AI59">
        <v>4</v>
      </c>
      <c r="AK59">
        <v>8</v>
      </c>
      <c r="AL59">
        <v>2</v>
      </c>
      <c r="AM59">
        <f t="shared" si="16"/>
        <v>17</v>
      </c>
      <c r="AO59" s="4">
        <v>1996</v>
      </c>
      <c r="AU59">
        <f t="shared" si="17"/>
        <v>0</v>
      </c>
    </row>
    <row r="60" spans="1:47" ht="12.75">
      <c r="A60" s="4">
        <v>1997</v>
      </c>
      <c r="B60">
        <v>3</v>
      </c>
      <c r="C60">
        <v>6</v>
      </c>
      <c r="D60">
        <v>7</v>
      </c>
      <c r="E60">
        <v>9</v>
      </c>
      <c r="F60">
        <v>1</v>
      </c>
      <c r="G60">
        <f t="shared" si="13"/>
        <v>26</v>
      </c>
      <c r="I60" s="4">
        <v>1997</v>
      </c>
      <c r="J60">
        <v>2</v>
      </c>
      <c r="K60">
        <v>1</v>
      </c>
      <c r="L60">
        <v>1</v>
      </c>
      <c r="M60">
        <v>45</v>
      </c>
      <c r="N60">
        <v>1</v>
      </c>
      <c r="O60">
        <f t="shared" si="14"/>
        <v>50</v>
      </c>
      <c r="Q60" s="4">
        <v>1997</v>
      </c>
      <c r="R60">
        <v>1</v>
      </c>
      <c r="W60">
        <f t="shared" si="15"/>
        <v>1</v>
      </c>
      <c r="Y60" s="4">
        <v>1997</v>
      </c>
      <c r="Z60">
        <v>1</v>
      </c>
      <c r="AE60">
        <f t="shared" si="12"/>
        <v>1</v>
      </c>
      <c r="AG60" s="4">
        <v>1997</v>
      </c>
      <c r="AH60">
        <v>1</v>
      </c>
      <c r="AI60">
        <v>3</v>
      </c>
      <c r="AJ60">
        <v>1</v>
      </c>
      <c r="AK60">
        <v>10</v>
      </c>
      <c r="AL60">
        <v>4</v>
      </c>
      <c r="AM60">
        <f t="shared" si="16"/>
        <v>19</v>
      </c>
      <c r="AO60" s="4">
        <v>1997</v>
      </c>
      <c r="AU60">
        <f t="shared" si="17"/>
        <v>0</v>
      </c>
    </row>
    <row r="61" spans="1:47" ht="12.75">
      <c r="A61" s="4">
        <v>1998</v>
      </c>
      <c r="B61">
        <v>4</v>
      </c>
      <c r="C61">
        <v>1</v>
      </c>
      <c r="D61">
        <v>2</v>
      </c>
      <c r="E61">
        <v>6</v>
      </c>
      <c r="F61">
        <v>1</v>
      </c>
      <c r="G61">
        <f t="shared" si="13"/>
        <v>14</v>
      </c>
      <c r="I61" s="4">
        <v>1998</v>
      </c>
      <c r="L61">
        <v>4</v>
      </c>
      <c r="M61">
        <v>15</v>
      </c>
      <c r="O61">
        <f t="shared" si="14"/>
        <v>19</v>
      </c>
      <c r="Q61" s="4">
        <v>1998</v>
      </c>
      <c r="W61">
        <f t="shared" si="15"/>
        <v>0</v>
      </c>
      <c r="Y61" s="4">
        <v>1998</v>
      </c>
      <c r="AB61">
        <v>1</v>
      </c>
      <c r="AE61">
        <f t="shared" si="12"/>
        <v>1</v>
      </c>
      <c r="AG61" s="4">
        <v>1998</v>
      </c>
      <c r="AH61">
        <v>3</v>
      </c>
      <c r="AI61">
        <v>1</v>
      </c>
      <c r="AJ61">
        <v>1</v>
      </c>
      <c r="AK61">
        <v>7</v>
      </c>
      <c r="AL61">
        <v>4</v>
      </c>
      <c r="AM61">
        <f t="shared" si="16"/>
        <v>16</v>
      </c>
      <c r="AO61" s="4">
        <v>1998</v>
      </c>
      <c r="AU61">
        <f t="shared" si="17"/>
        <v>0</v>
      </c>
    </row>
    <row r="62" spans="1:47" ht="12.75">
      <c r="A62" s="4">
        <v>1999</v>
      </c>
      <c r="B62">
        <v>2</v>
      </c>
      <c r="C62">
        <v>1</v>
      </c>
      <c r="D62">
        <v>1</v>
      </c>
      <c r="E62">
        <v>7</v>
      </c>
      <c r="F62">
        <v>3</v>
      </c>
      <c r="G62">
        <f t="shared" si="13"/>
        <v>14</v>
      </c>
      <c r="I62" s="4">
        <v>1999</v>
      </c>
      <c r="J62">
        <v>1</v>
      </c>
      <c r="K62">
        <v>1</v>
      </c>
      <c r="L62">
        <v>1</v>
      </c>
      <c r="M62">
        <v>9</v>
      </c>
      <c r="O62">
        <f t="shared" si="14"/>
        <v>12</v>
      </c>
      <c r="Q62" s="4">
        <v>1999</v>
      </c>
      <c r="W62">
        <f t="shared" si="15"/>
        <v>0</v>
      </c>
      <c r="Y62" s="4">
        <v>1999</v>
      </c>
      <c r="AB62">
        <v>1</v>
      </c>
      <c r="AE62">
        <f>SUM(Z62:AD62)</f>
        <v>1</v>
      </c>
      <c r="AG62" s="4">
        <v>1999</v>
      </c>
      <c r="AH62">
        <v>3</v>
      </c>
      <c r="AI62">
        <v>2</v>
      </c>
      <c r="AJ62">
        <v>1</v>
      </c>
      <c r="AK62">
        <v>4</v>
      </c>
      <c r="AL62">
        <v>5</v>
      </c>
      <c r="AM62">
        <f t="shared" si="16"/>
        <v>15</v>
      </c>
      <c r="AO62" s="4">
        <v>1999</v>
      </c>
      <c r="AU62">
        <f t="shared" si="17"/>
        <v>0</v>
      </c>
    </row>
    <row r="63" spans="1:41" ht="12.75">
      <c r="A63" s="4" t="s">
        <v>13</v>
      </c>
      <c r="B63" s="2">
        <f>SUM(B46:B62)</f>
        <v>33</v>
      </c>
      <c r="C63" s="2">
        <f>SUM(C46:C62)</f>
        <v>79</v>
      </c>
      <c r="D63" s="2">
        <f>SUM(D46:D62)</f>
        <v>57</v>
      </c>
      <c r="E63" s="2">
        <f>SUM(E46:E62)</f>
        <v>53</v>
      </c>
      <c r="F63" s="2">
        <f>SUM(F46:F62)</f>
        <v>65</v>
      </c>
      <c r="G63" s="2">
        <f>SUM(G46:G62)</f>
        <v>287</v>
      </c>
      <c r="I63" s="4" t="s">
        <v>13</v>
      </c>
      <c r="J63" s="2">
        <f>SUM(J46:J62)</f>
        <v>15</v>
      </c>
      <c r="K63" s="2">
        <f>SUM(K46:K62)</f>
        <v>23</v>
      </c>
      <c r="L63" s="2">
        <f>SUM(L46:L62)</f>
        <v>19</v>
      </c>
      <c r="M63" s="2">
        <f>SUM(M46:M62)</f>
        <v>96</v>
      </c>
      <c r="N63" s="2">
        <f>SUM(N46:N62)</f>
        <v>16</v>
      </c>
      <c r="O63" s="2">
        <f>SUM(O46:O62)</f>
        <v>169</v>
      </c>
      <c r="Q63" s="4" t="s">
        <v>13</v>
      </c>
      <c r="R63" s="2">
        <f>SUM(R46:R62)</f>
        <v>2</v>
      </c>
      <c r="S63" s="2">
        <f>SUM(S46:S62)</f>
        <v>1</v>
      </c>
      <c r="T63" s="2">
        <f>SUM(T46:T62)</f>
        <v>3</v>
      </c>
      <c r="U63" s="2">
        <f>SUM(U46:U62)</f>
        <v>1</v>
      </c>
      <c r="V63" s="2">
        <f>SUM(V46:V62)</f>
        <v>3</v>
      </c>
      <c r="W63" s="2">
        <f>SUM(W46:W62)</f>
        <v>10</v>
      </c>
      <c r="Y63" s="4" t="s">
        <v>13</v>
      </c>
      <c r="Z63" s="2">
        <f>SUM(Z46:Z62)</f>
        <v>1</v>
      </c>
      <c r="AA63" s="2">
        <f>SUM(AA46:AA62)</f>
        <v>0</v>
      </c>
      <c r="AB63" s="2">
        <f>SUM(AB46:AB62)</f>
        <v>3</v>
      </c>
      <c r="AC63" s="2">
        <f>SUM(AC46:AC62)</f>
        <v>0</v>
      </c>
      <c r="AD63" s="2">
        <f>SUM(AD46:AD62)</f>
        <v>0</v>
      </c>
      <c r="AE63" s="2">
        <f>SUM(AE46:AE62)</f>
        <v>4</v>
      </c>
      <c r="AG63" s="4" t="s">
        <v>13</v>
      </c>
      <c r="AH63" s="2">
        <f>SUM(AH46:AH62)</f>
        <v>25</v>
      </c>
      <c r="AI63" s="2">
        <f>SUM(AI46:AI62)</f>
        <v>40</v>
      </c>
      <c r="AJ63" s="2">
        <f>SUM(AJ46:AJ62)</f>
        <v>13</v>
      </c>
      <c r="AK63" s="2">
        <f>SUM(AK46:AK62)</f>
        <v>35</v>
      </c>
      <c r="AL63" s="2">
        <f>SUM(AL46:AL62)</f>
        <v>36</v>
      </c>
      <c r="AM63" s="2">
        <f>SUM(AM46:AM62)</f>
        <v>149</v>
      </c>
      <c r="AO63" s="4" t="s">
        <v>13</v>
      </c>
    </row>
    <row r="64" spans="9:41" ht="12.75">
      <c r="I64" s="4"/>
      <c r="Q64" s="4"/>
      <c r="Y64" s="4"/>
      <c r="AG64" s="4"/>
      <c r="AO64" s="4"/>
    </row>
    <row r="65" spans="1:41" ht="12.75">
      <c r="A65" s="4" t="s">
        <v>11</v>
      </c>
      <c r="I65" s="4" t="s">
        <v>12</v>
      </c>
      <c r="Q65" s="4" t="s">
        <v>28</v>
      </c>
      <c r="Y65" s="4" t="s">
        <v>29</v>
      </c>
      <c r="AG65" s="4" t="s">
        <v>26</v>
      </c>
      <c r="AO65" s="4" t="s">
        <v>27</v>
      </c>
    </row>
    <row r="66" spans="1:47" ht="12.75">
      <c r="A66" s="4" t="s">
        <v>9</v>
      </c>
      <c r="B66" s="12" t="s">
        <v>0</v>
      </c>
      <c r="C66" s="12" t="s">
        <v>5</v>
      </c>
      <c r="D66" s="12" t="s">
        <v>6</v>
      </c>
      <c r="E66" s="12" t="s">
        <v>1</v>
      </c>
      <c r="F66" s="12" t="s">
        <v>4</v>
      </c>
      <c r="G66" s="12" t="s">
        <v>13</v>
      </c>
      <c r="I66" s="4" t="s">
        <v>9</v>
      </c>
      <c r="J66" s="12" t="s">
        <v>0</v>
      </c>
      <c r="K66" s="12" t="s">
        <v>5</v>
      </c>
      <c r="L66" s="12" t="s">
        <v>6</v>
      </c>
      <c r="M66" s="12" t="s">
        <v>1</v>
      </c>
      <c r="N66" s="12" t="s">
        <v>4</v>
      </c>
      <c r="O66" s="12" t="s">
        <v>13</v>
      </c>
      <c r="Q66" s="4" t="s">
        <v>9</v>
      </c>
      <c r="R66" s="12" t="s">
        <v>0</v>
      </c>
      <c r="S66" s="12" t="s">
        <v>5</v>
      </c>
      <c r="T66" s="12" t="s">
        <v>6</v>
      </c>
      <c r="U66" s="12" t="s">
        <v>1</v>
      </c>
      <c r="V66" s="12" t="s">
        <v>4</v>
      </c>
      <c r="W66" s="12" t="s">
        <v>13</v>
      </c>
      <c r="Y66" s="4" t="s">
        <v>9</v>
      </c>
      <c r="Z66" s="12" t="s">
        <v>0</v>
      </c>
      <c r="AA66" s="12" t="s">
        <v>5</v>
      </c>
      <c r="AB66" s="12" t="s">
        <v>6</v>
      </c>
      <c r="AC66" s="12" t="s">
        <v>1</v>
      </c>
      <c r="AD66" s="12" t="s">
        <v>4</v>
      </c>
      <c r="AE66" s="12" t="s">
        <v>13</v>
      </c>
      <c r="AG66" s="4" t="s">
        <v>9</v>
      </c>
      <c r="AH66" s="12" t="s">
        <v>0</v>
      </c>
      <c r="AI66" s="12" t="s">
        <v>5</v>
      </c>
      <c r="AJ66" s="12" t="s">
        <v>6</v>
      </c>
      <c r="AK66" s="12" t="s">
        <v>1</v>
      </c>
      <c r="AL66" s="12" t="s">
        <v>4</v>
      </c>
      <c r="AM66" s="12" t="s">
        <v>13</v>
      </c>
      <c r="AO66" s="4" t="s">
        <v>9</v>
      </c>
      <c r="AP66" s="12" t="s">
        <v>0</v>
      </c>
      <c r="AQ66" s="12" t="s">
        <v>5</v>
      </c>
      <c r="AR66" s="12" t="s">
        <v>6</v>
      </c>
      <c r="AS66" s="12" t="s">
        <v>1</v>
      </c>
      <c r="AT66" s="12" t="s">
        <v>4</v>
      </c>
      <c r="AU66" s="12" t="s">
        <v>13</v>
      </c>
    </row>
    <row r="67" spans="1:47" ht="12.75">
      <c r="A67" s="4">
        <v>1983</v>
      </c>
      <c r="B67">
        <f aca="true" t="shared" si="18" ref="B67:G67">B46+B25</f>
        <v>40</v>
      </c>
      <c r="C67">
        <f t="shared" si="18"/>
        <v>62</v>
      </c>
      <c r="D67">
        <f t="shared" si="18"/>
        <v>26</v>
      </c>
      <c r="E67">
        <f t="shared" si="18"/>
        <v>3</v>
      </c>
      <c r="F67">
        <f t="shared" si="18"/>
        <v>18</v>
      </c>
      <c r="G67">
        <f t="shared" si="18"/>
        <v>149</v>
      </c>
      <c r="I67" s="4">
        <v>1983</v>
      </c>
      <c r="J67">
        <f aca="true" t="shared" si="19" ref="J67:O67">J46+J25</f>
        <v>32</v>
      </c>
      <c r="K67">
        <f t="shared" si="19"/>
        <v>26</v>
      </c>
      <c r="L67">
        <f t="shared" si="19"/>
        <v>7</v>
      </c>
      <c r="M67">
        <f t="shared" si="19"/>
        <v>1</v>
      </c>
      <c r="N67">
        <f t="shared" si="19"/>
        <v>6</v>
      </c>
      <c r="O67">
        <f t="shared" si="19"/>
        <v>72</v>
      </c>
      <c r="Q67" s="4">
        <v>1983</v>
      </c>
      <c r="R67">
        <f aca="true" t="shared" si="20" ref="R67:W67">R46+R25</f>
        <v>2</v>
      </c>
      <c r="S67">
        <f t="shared" si="20"/>
        <v>2</v>
      </c>
      <c r="T67">
        <f t="shared" si="20"/>
        <v>0</v>
      </c>
      <c r="U67">
        <f t="shared" si="20"/>
        <v>0</v>
      </c>
      <c r="V67">
        <f t="shared" si="20"/>
        <v>0</v>
      </c>
      <c r="W67">
        <f t="shared" si="20"/>
        <v>4</v>
      </c>
      <c r="Y67" s="4">
        <v>1983</v>
      </c>
      <c r="Z67">
        <f aca="true" t="shared" si="21" ref="Z67:AE67">Z46+Z25</f>
        <v>0</v>
      </c>
      <c r="AA67">
        <f t="shared" si="21"/>
        <v>0</v>
      </c>
      <c r="AB67">
        <f t="shared" si="21"/>
        <v>0</v>
      </c>
      <c r="AC67">
        <f t="shared" si="21"/>
        <v>0</v>
      </c>
      <c r="AD67">
        <f t="shared" si="21"/>
        <v>0</v>
      </c>
      <c r="AE67">
        <f t="shared" si="21"/>
        <v>0</v>
      </c>
      <c r="AG67" s="4">
        <v>1983</v>
      </c>
      <c r="AH67">
        <f aca="true" t="shared" si="22" ref="AH67:AM67">AH46+AH25</f>
        <v>36</v>
      </c>
      <c r="AI67">
        <f t="shared" si="22"/>
        <v>32</v>
      </c>
      <c r="AJ67">
        <f t="shared" si="22"/>
        <v>7</v>
      </c>
      <c r="AK67">
        <f t="shared" si="22"/>
        <v>2</v>
      </c>
      <c r="AL67">
        <f t="shared" si="22"/>
        <v>6</v>
      </c>
      <c r="AM67">
        <f t="shared" si="22"/>
        <v>83</v>
      </c>
      <c r="AO67" s="4">
        <v>1983</v>
      </c>
      <c r="AP67">
        <f aca="true" t="shared" si="23" ref="AP67:AU67">AP46+AP25</f>
        <v>0</v>
      </c>
      <c r="AQ67">
        <f t="shared" si="23"/>
        <v>0</v>
      </c>
      <c r="AR67">
        <f t="shared" si="23"/>
        <v>0</v>
      </c>
      <c r="AS67">
        <f t="shared" si="23"/>
        <v>0</v>
      </c>
      <c r="AT67">
        <f t="shared" si="23"/>
        <v>0</v>
      </c>
      <c r="AU67">
        <f t="shared" si="23"/>
        <v>0</v>
      </c>
    </row>
    <row r="68" spans="1:47" ht="12.75">
      <c r="A68" s="4">
        <v>1984</v>
      </c>
      <c r="B68">
        <f aca="true" t="shared" si="24" ref="B68:G84">B47+B26</f>
        <v>0</v>
      </c>
      <c r="C68">
        <f t="shared" si="24"/>
        <v>0</v>
      </c>
      <c r="D68">
        <f t="shared" si="24"/>
        <v>0</v>
      </c>
      <c r="E68">
        <f t="shared" si="24"/>
        <v>0</v>
      </c>
      <c r="F68">
        <f t="shared" si="24"/>
        <v>0</v>
      </c>
      <c r="G68">
        <f t="shared" si="24"/>
        <v>0</v>
      </c>
      <c r="I68" s="4">
        <v>1984</v>
      </c>
      <c r="J68">
        <f aca="true" t="shared" si="25" ref="J68:O68">J47+J26</f>
        <v>0</v>
      </c>
      <c r="K68">
        <f t="shared" si="25"/>
        <v>0</v>
      </c>
      <c r="L68">
        <f t="shared" si="25"/>
        <v>0</v>
      </c>
      <c r="M68">
        <f t="shared" si="25"/>
        <v>0</v>
      </c>
      <c r="N68">
        <f t="shared" si="25"/>
        <v>0</v>
      </c>
      <c r="O68">
        <f t="shared" si="25"/>
        <v>0</v>
      </c>
      <c r="Q68" s="4">
        <v>1984</v>
      </c>
      <c r="R68">
        <f aca="true" t="shared" si="26" ref="R68:W68">R47+R26</f>
        <v>0</v>
      </c>
      <c r="S68">
        <f t="shared" si="26"/>
        <v>0</v>
      </c>
      <c r="T68">
        <f t="shared" si="26"/>
        <v>0</v>
      </c>
      <c r="U68">
        <f t="shared" si="26"/>
        <v>0</v>
      </c>
      <c r="V68">
        <f t="shared" si="26"/>
        <v>0</v>
      </c>
      <c r="W68">
        <f t="shared" si="26"/>
        <v>0</v>
      </c>
      <c r="Y68" s="4">
        <v>1984</v>
      </c>
      <c r="Z68">
        <f aca="true" t="shared" si="27" ref="Z68:AE68">Z47+Z26</f>
        <v>0</v>
      </c>
      <c r="AA68">
        <f t="shared" si="27"/>
        <v>0</v>
      </c>
      <c r="AB68">
        <f t="shared" si="27"/>
        <v>0</v>
      </c>
      <c r="AC68">
        <f t="shared" si="27"/>
        <v>0</v>
      </c>
      <c r="AD68">
        <f t="shared" si="27"/>
        <v>0</v>
      </c>
      <c r="AE68">
        <f t="shared" si="27"/>
        <v>0</v>
      </c>
      <c r="AG68" s="4">
        <v>1984</v>
      </c>
      <c r="AH68">
        <f aca="true" t="shared" si="28" ref="AH68:AM68">AH47+AH26</f>
        <v>0</v>
      </c>
      <c r="AI68">
        <f t="shared" si="28"/>
        <v>0</v>
      </c>
      <c r="AJ68">
        <f t="shared" si="28"/>
        <v>0</v>
      </c>
      <c r="AK68">
        <f t="shared" si="28"/>
        <v>0</v>
      </c>
      <c r="AL68">
        <f t="shared" si="28"/>
        <v>0</v>
      </c>
      <c r="AM68">
        <f t="shared" si="28"/>
        <v>0</v>
      </c>
      <c r="AO68" s="4">
        <v>1984</v>
      </c>
      <c r="AP68">
        <f aca="true" t="shared" si="29" ref="AP68:AU68">AP47+AP26</f>
        <v>0</v>
      </c>
      <c r="AQ68">
        <f t="shared" si="29"/>
        <v>0</v>
      </c>
      <c r="AR68">
        <f t="shared" si="29"/>
        <v>0</v>
      </c>
      <c r="AS68">
        <f t="shared" si="29"/>
        <v>0</v>
      </c>
      <c r="AT68">
        <f t="shared" si="29"/>
        <v>0</v>
      </c>
      <c r="AU68">
        <f t="shared" si="29"/>
        <v>0</v>
      </c>
    </row>
    <row r="69" spans="1:47" ht="12.75">
      <c r="A69" s="4">
        <v>1985</v>
      </c>
      <c r="B69">
        <f t="shared" si="24"/>
        <v>40</v>
      </c>
      <c r="C69">
        <f t="shared" si="24"/>
        <v>79</v>
      </c>
      <c r="D69">
        <f t="shared" si="24"/>
        <v>42</v>
      </c>
      <c r="E69">
        <f t="shared" si="24"/>
        <v>7</v>
      </c>
      <c r="F69">
        <f t="shared" si="24"/>
        <v>30</v>
      </c>
      <c r="G69">
        <f t="shared" si="24"/>
        <v>198</v>
      </c>
      <c r="I69" s="4">
        <v>1985</v>
      </c>
      <c r="J69">
        <f aca="true" t="shared" si="30" ref="J69:O69">J48+J27</f>
        <v>27</v>
      </c>
      <c r="K69">
        <f t="shared" si="30"/>
        <v>49</v>
      </c>
      <c r="L69">
        <f t="shared" si="30"/>
        <v>12</v>
      </c>
      <c r="M69">
        <f t="shared" si="30"/>
        <v>4</v>
      </c>
      <c r="N69">
        <f t="shared" si="30"/>
        <v>15</v>
      </c>
      <c r="O69">
        <f t="shared" si="30"/>
        <v>107</v>
      </c>
      <c r="Q69" s="4">
        <v>1985</v>
      </c>
      <c r="R69">
        <f aca="true" t="shared" si="31" ref="R69:W69">R48+R27</f>
        <v>1</v>
      </c>
      <c r="S69">
        <f t="shared" si="31"/>
        <v>4</v>
      </c>
      <c r="T69">
        <f t="shared" si="31"/>
        <v>2</v>
      </c>
      <c r="U69">
        <f t="shared" si="31"/>
        <v>0</v>
      </c>
      <c r="V69">
        <f t="shared" si="31"/>
        <v>0</v>
      </c>
      <c r="W69">
        <f t="shared" si="31"/>
        <v>7</v>
      </c>
      <c r="Y69" s="4">
        <v>1985</v>
      </c>
      <c r="Z69">
        <f aca="true" t="shared" si="32" ref="Z69:AE69">Z48+Z27</f>
        <v>0</v>
      </c>
      <c r="AA69">
        <f t="shared" si="32"/>
        <v>0</v>
      </c>
      <c r="AB69">
        <f t="shared" si="32"/>
        <v>0</v>
      </c>
      <c r="AC69">
        <f t="shared" si="32"/>
        <v>0</v>
      </c>
      <c r="AD69">
        <f t="shared" si="32"/>
        <v>0</v>
      </c>
      <c r="AE69">
        <f t="shared" si="32"/>
        <v>0</v>
      </c>
      <c r="AG69" s="4">
        <v>1985</v>
      </c>
      <c r="AH69">
        <f aca="true" t="shared" si="33" ref="AH69:AM69">AH48+AH27</f>
        <v>28</v>
      </c>
      <c r="AI69">
        <f t="shared" si="33"/>
        <v>43</v>
      </c>
      <c r="AJ69">
        <f t="shared" si="33"/>
        <v>16</v>
      </c>
      <c r="AK69">
        <f t="shared" si="33"/>
        <v>4</v>
      </c>
      <c r="AL69">
        <f t="shared" si="33"/>
        <v>16</v>
      </c>
      <c r="AM69">
        <f t="shared" si="33"/>
        <v>107</v>
      </c>
      <c r="AO69" s="4">
        <v>1985</v>
      </c>
      <c r="AP69">
        <f aca="true" t="shared" si="34" ref="AP69:AU69">AP48+AP27</f>
        <v>0</v>
      </c>
      <c r="AQ69">
        <f t="shared" si="34"/>
        <v>0</v>
      </c>
      <c r="AR69">
        <f t="shared" si="34"/>
        <v>0</v>
      </c>
      <c r="AS69">
        <f t="shared" si="34"/>
        <v>0</v>
      </c>
      <c r="AT69">
        <f t="shared" si="34"/>
        <v>0</v>
      </c>
      <c r="AU69">
        <f t="shared" si="34"/>
        <v>0</v>
      </c>
    </row>
    <row r="70" spans="1:47" ht="12.75">
      <c r="A70" s="4">
        <v>1986</v>
      </c>
      <c r="B70">
        <f t="shared" si="24"/>
        <v>56</v>
      </c>
      <c r="C70">
        <f t="shared" si="24"/>
        <v>99</v>
      </c>
      <c r="D70">
        <f t="shared" si="24"/>
        <v>45</v>
      </c>
      <c r="E70">
        <f t="shared" si="24"/>
        <v>14</v>
      </c>
      <c r="F70">
        <f t="shared" si="24"/>
        <v>45</v>
      </c>
      <c r="G70">
        <f t="shared" si="24"/>
        <v>259</v>
      </c>
      <c r="I70" s="4">
        <v>1986</v>
      </c>
      <c r="J70">
        <f aca="true" t="shared" si="35" ref="J70:O70">J49+J28</f>
        <v>30</v>
      </c>
      <c r="K70">
        <f t="shared" si="35"/>
        <v>43</v>
      </c>
      <c r="L70">
        <f t="shared" si="35"/>
        <v>25</v>
      </c>
      <c r="M70">
        <f t="shared" si="35"/>
        <v>4</v>
      </c>
      <c r="N70">
        <f t="shared" si="35"/>
        <v>22</v>
      </c>
      <c r="O70">
        <f t="shared" si="35"/>
        <v>124</v>
      </c>
      <c r="Q70" s="4">
        <v>1986</v>
      </c>
      <c r="R70">
        <f aca="true" t="shared" si="36" ref="R70:W70">R49+R28</f>
        <v>0</v>
      </c>
      <c r="S70">
        <f t="shared" si="36"/>
        <v>1</v>
      </c>
      <c r="T70">
        <f t="shared" si="36"/>
        <v>1</v>
      </c>
      <c r="U70">
        <f t="shared" si="36"/>
        <v>0</v>
      </c>
      <c r="V70">
        <f t="shared" si="36"/>
        <v>1</v>
      </c>
      <c r="W70">
        <f t="shared" si="36"/>
        <v>3</v>
      </c>
      <c r="Y70" s="4">
        <v>1986</v>
      </c>
      <c r="Z70">
        <f aca="true" t="shared" si="37" ref="Z70:AE70">Z49+Z28</f>
        <v>0</v>
      </c>
      <c r="AA70">
        <f t="shared" si="37"/>
        <v>0</v>
      </c>
      <c r="AB70">
        <f t="shared" si="37"/>
        <v>0</v>
      </c>
      <c r="AC70">
        <f t="shared" si="37"/>
        <v>0</v>
      </c>
      <c r="AD70">
        <f t="shared" si="37"/>
        <v>0</v>
      </c>
      <c r="AE70">
        <f t="shared" si="37"/>
        <v>0</v>
      </c>
      <c r="AG70" s="4">
        <v>1986</v>
      </c>
      <c r="AH70">
        <f aca="true" t="shared" si="38" ref="AH70:AM70">AH49+AH28</f>
        <v>56</v>
      </c>
      <c r="AI70">
        <f t="shared" si="38"/>
        <v>56</v>
      </c>
      <c r="AJ70">
        <f t="shared" si="38"/>
        <v>18</v>
      </c>
      <c r="AK70">
        <f t="shared" si="38"/>
        <v>3</v>
      </c>
      <c r="AL70">
        <f t="shared" si="38"/>
        <v>29</v>
      </c>
      <c r="AM70">
        <f t="shared" si="38"/>
        <v>162</v>
      </c>
      <c r="AO70" s="4">
        <v>1986</v>
      </c>
      <c r="AP70">
        <f aca="true" t="shared" si="39" ref="AP70:AU70">AP49+AP28</f>
        <v>0</v>
      </c>
      <c r="AQ70">
        <f t="shared" si="39"/>
        <v>0</v>
      </c>
      <c r="AR70">
        <f t="shared" si="39"/>
        <v>0</v>
      </c>
      <c r="AS70">
        <f t="shared" si="39"/>
        <v>0</v>
      </c>
      <c r="AT70">
        <f t="shared" si="39"/>
        <v>0</v>
      </c>
      <c r="AU70">
        <f t="shared" si="39"/>
        <v>0</v>
      </c>
    </row>
    <row r="71" spans="1:47" ht="12.75">
      <c r="A71" s="4">
        <v>1987</v>
      </c>
      <c r="B71">
        <f t="shared" si="24"/>
        <v>63</v>
      </c>
      <c r="C71">
        <f t="shared" si="24"/>
        <v>108</v>
      </c>
      <c r="D71">
        <f t="shared" si="24"/>
        <v>70</v>
      </c>
      <c r="E71">
        <f t="shared" si="24"/>
        <v>19</v>
      </c>
      <c r="F71">
        <f t="shared" si="24"/>
        <v>71</v>
      </c>
      <c r="G71">
        <f t="shared" si="24"/>
        <v>331</v>
      </c>
      <c r="I71" s="4">
        <v>1987</v>
      </c>
      <c r="J71">
        <f aca="true" t="shared" si="40" ref="J71:O71">J50+J29</f>
        <v>44</v>
      </c>
      <c r="K71">
        <f t="shared" si="40"/>
        <v>56</v>
      </c>
      <c r="L71">
        <f t="shared" si="40"/>
        <v>28</v>
      </c>
      <c r="M71">
        <f t="shared" si="40"/>
        <v>7</v>
      </c>
      <c r="N71">
        <f t="shared" si="40"/>
        <v>26</v>
      </c>
      <c r="O71">
        <f t="shared" si="40"/>
        <v>161</v>
      </c>
      <c r="Q71" s="4">
        <v>1987</v>
      </c>
      <c r="R71">
        <f aca="true" t="shared" si="41" ref="R71:W71">R50+R29</f>
        <v>3</v>
      </c>
      <c r="S71">
        <f t="shared" si="41"/>
        <v>1</v>
      </c>
      <c r="T71">
        <f t="shared" si="41"/>
        <v>3</v>
      </c>
      <c r="U71">
        <f t="shared" si="41"/>
        <v>0</v>
      </c>
      <c r="V71">
        <f t="shared" si="41"/>
        <v>0</v>
      </c>
      <c r="W71">
        <f t="shared" si="41"/>
        <v>7</v>
      </c>
      <c r="Y71" s="4">
        <v>1987</v>
      </c>
      <c r="Z71">
        <f aca="true" t="shared" si="42" ref="Z71:AE71">Z50+Z29</f>
        <v>1</v>
      </c>
      <c r="AA71">
        <f t="shared" si="42"/>
        <v>0</v>
      </c>
      <c r="AB71">
        <f t="shared" si="42"/>
        <v>1</v>
      </c>
      <c r="AC71">
        <f t="shared" si="42"/>
        <v>0</v>
      </c>
      <c r="AD71">
        <f t="shared" si="42"/>
        <v>0</v>
      </c>
      <c r="AE71">
        <f t="shared" si="42"/>
        <v>2</v>
      </c>
      <c r="AG71" s="4">
        <v>1987</v>
      </c>
      <c r="AH71">
        <f aca="true" t="shared" si="43" ref="AH71:AM71">AH50+AH29</f>
        <v>55</v>
      </c>
      <c r="AI71">
        <f t="shared" si="43"/>
        <v>63</v>
      </c>
      <c r="AJ71">
        <f t="shared" si="43"/>
        <v>40</v>
      </c>
      <c r="AK71">
        <f t="shared" si="43"/>
        <v>4</v>
      </c>
      <c r="AL71">
        <f t="shared" si="43"/>
        <v>42</v>
      </c>
      <c r="AM71">
        <f t="shared" si="43"/>
        <v>204</v>
      </c>
      <c r="AO71" s="4">
        <v>1987</v>
      </c>
      <c r="AP71">
        <f aca="true" t="shared" si="44" ref="AP71:AU71">AP50+AP29</f>
        <v>0</v>
      </c>
      <c r="AQ71">
        <f t="shared" si="44"/>
        <v>0</v>
      </c>
      <c r="AR71">
        <f t="shared" si="44"/>
        <v>0</v>
      </c>
      <c r="AS71">
        <f t="shared" si="44"/>
        <v>0</v>
      </c>
      <c r="AT71">
        <f t="shared" si="44"/>
        <v>0</v>
      </c>
      <c r="AU71">
        <f t="shared" si="44"/>
        <v>0</v>
      </c>
    </row>
    <row r="72" spans="1:47" ht="12.75">
      <c r="A72" s="4">
        <v>1988</v>
      </c>
      <c r="B72">
        <f t="shared" si="24"/>
        <v>33</v>
      </c>
      <c r="C72">
        <f t="shared" si="24"/>
        <v>64</v>
      </c>
      <c r="D72">
        <f t="shared" si="24"/>
        <v>48</v>
      </c>
      <c r="E72">
        <f t="shared" si="24"/>
        <v>11</v>
      </c>
      <c r="F72">
        <f t="shared" si="24"/>
        <v>53</v>
      </c>
      <c r="G72">
        <f t="shared" si="24"/>
        <v>209</v>
      </c>
      <c r="I72" s="4">
        <v>1988</v>
      </c>
      <c r="J72">
        <f aca="true" t="shared" si="45" ref="J72:O72">J51+J30</f>
        <v>21</v>
      </c>
      <c r="K72">
        <f t="shared" si="45"/>
        <v>26</v>
      </c>
      <c r="L72">
        <f t="shared" si="45"/>
        <v>16</v>
      </c>
      <c r="M72">
        <f t="shared" si="45"/>
        <v>7</v>
      </c>
      <c r="N72">
        <f t="shared" si="45"/>
        <v>28</v>
      </c>
      <c r="O72">
        <f t="shared" si="45"/>
        <v>98</v>
      </c>
      <c r="Q72" s="4">
        <v>1988</v>
      </c>
      <c r="R72">
        <f aca="true" t="shared" si="46" ref="R72:W72">R51+R30</f>
        <v>1</v>
      </c>
      <c r="S72">
        <f t="shared" si="46"/>
        <v>2</v>
      </c>
      <c r="T72">
        <f t="shared" si="46"/>
        <v>0</v>
      </c>
      <c r="U72">
        <f t="shared" si="46"/>
        <v>0</v>
      </c>
      <c r="V72">
        <f t="shared" si="46"/>
        <v>0</v>
      </c>
      <c r="W72">
        <f t="shared" si="46"/>
        <v>3</v>
      </c>
      <c r="Y72" s="4">
        <v>1988</v>
      </c>
      <c r="Z72">
        <f aca="true" t="shared" si="47" ref="Z72:AE72">Z51+Z30</f>
        <v>1</v>
      </c>
      <c r="AA72">
        <f t="shared" si="47"/>
        <v>1</v>
      </c>
      <c r="AB72">
        <f t="shared" si="47"/>
        <v>0</v>
      </c>
      <c r="AC72">
        <f t="shared" si="47"/>
        <v>0</v>
      </c>
      <c r="AD72">
        <f t="shared" si="47"/>
        <v>0</v>
      </c>
      <c r="AE72">
        <f t="shared" si="47"/>
        <v>2</v>
      </c>
      <c r="AG72" s="4">
        <v>1988</v>
      </c>
      <c r="AH72">
        <f aca="true" t="shared" si="48" ref="AH72:AM72">AH51+AH30</f>
        <v>31</v>
      </c>
      <c r="AI72">
        <f t="shared" si="48"/>
        <v>41</v>
      </c>
      <c r="AJ72">
        <f t="shared" si="48"/>
        <v>22</v>
      </c>
      <c r="AK72">
        <f t="shared" si="48"/>
        <v>13</v>
      </c>
      <c r="AL72">
        <f t="shared" si="48"/>
        <v>24</v>
      </c>
      <c r="AM72">
        <f t="shared" si="48"/>
        <v>131</v>
      </c>
      <c r="AO72" s="4">
        <v>1988</v>
      </c>
      <c r="AP72">
        <f aca="true" t="shared" si="49" ref="AP72:AU72">AP51+AP30</f>
        <v>0</v>
      </c>
      <c r="AQ72">
        <f t="shared" si="49"/>
        <v>0</v>
      </c>
      <c r="AR72">
        <f t="shared" si="49"/>
        <v>0</v>
      </c>
      <c r="AS72">
        <f t="shared" si="49"/>
        <v>0</v>
      </c>
      <c r="AT72">
        <f t="shared" si="49"/>
        <v>0</v>
      </c>
      <c r="AU72">
        <f t="shared" si="49"/>
        <v>0</v>
      </c>
    </row>
    <row r="73" spans="1:47" ht="12.75">
      <c r="A73" s="4">
        <v>1989</v>
      </c>
      <c r="B73">
        <f t="shared" si="24"/>
        <v>35</v>
      </c>
      <c r="C73">
        <f t="shared" si="24"/>
        <v>54</v>
      </c>
      <c r="D73">
        <f t="shared" si="24"/>
        <v>53</v>
      </c>
      <c r="E73">
        <f t="shared" si="24"/>
        <v>16</v>
      </c>
      <c r="F73">
        <f t="shared" si="24"/>
        <v>41</v>
      </c>
      <c r="G73">
        <f t="shared" si="24"/>
        <v>199</v>
      </c>
      <c r="I73" s="4">
        <v>1989</v>
      </c>
      <c r="J73">
        <f aca="true" t="shared" si="50" ref="J73:O73">J52+J31</f>
        <v>21</v>
      </c>
      <c r="K73">
        <f t="shared" si="50"/>
        <v>36</v>
      </c>
      <c r="L73">
        <f t="shared" si="50"/>
        <v>13</v>
      </c>
      <c r="M73">
        <f t="shared" si="50"/>
        <v>4</v>
      </c>
      <c r="N73">
        <f t="shared" si="50"/>
        <v>19</v>
      </c>
      <c r="O73">
        <f t="shared" si="50"/>
        <v>93</v>
      </c>
      <c r="Q73" s="4">
        <v>1989</v>
      </c>
      <c r="R73">
        <f aca="true" t="shared" si="51" ref="R73:W73">R52+R31</f>
        <v>0</v>
      </c>
      <c r="S73">
        <f t="shared" si="51"/>
        <v>2</v>
      </c>
      <c r="T73">
        <f t="shared" si="51"/>
        <v>0</v>
      </c>
      <c r="U73">
        <f t="shared" si="51"/>
        <v>0</v>
      </c>
      <c r="V73">
        <f t="shared" si="51"/>
        <v>3</v>
      </c>
      <c r="W73">
        <f t="shared" si="51"/>
        <v>5</v>
      </c>
      <c r="Y73" s="4">
        <v>1989</v>
      </c>
      <c r="Z73">
        <f aca="true" t="shared" si="52" ref="Z73:AE73">Z52+Z31</f>
        <v>0</v>
      </c>
      <c r="AA73">
        <f t="shared" si="52"/>
        <v>0</v>
      </c>
      <c r="AB73">
        <f t="shared" si="52"/>
        <v>0</v>
      </c>
      <c r="AC73">
        <f t="shared" si="52"/>
        <v>0</v>
      </c>
      <c r="AD73">
        <f t="shared" si="52"/>
        <v>0</v>
      </c>
      <c r="AE73">
        <f t="shared" si="52"/>
        <v>0</v>
      </c>
      <c r="AG73" s="4">
        <v>1989</v>
      </c>
      <c r="AH73">
        <f aca="true" t="shared" si="53" ref="AH73:AM73">AH52+AH31</f>
        <v>27</v>
      </c>
      <c r="AI73">
        <f t="shared" si="53"/>
        <v>43</v>
      </c>
      <c r="AJ73">
        <f t="shared" si="53"/>
        <v>16</v>
      </c>
      <c r="AK73">
        <f t="shared" si="53"/>
        <v>3</v>
      </c>
      <c r="AL73">
        <f t="shared" si="53"/>
        <v>32</v>
      </c>
      <c r="AM73">
        <f t="shared" si="53"/>
        <v>121</v>
      </c>
      <c r="AO73" s="4">
        <v>1989</v>
      </c>
      <c r="AP73">
        <f aca="true" t="shared" si="54" ref="AP73:AU73">AP52+AP31</f>
        <v>0</v>
      </c>
      <c r="AQ73">
        <f t="shared" si="54"/>
        <v>0</v>
      </c>
      <c r="AR73">
        <f t="shared" si="54"/>
        <v>0</v>
      </c>
      <c r="AS73">
        <f t="shared" si="54"/>
        <v>0</v>
      </c>
      <c r="AT73">
        <f t="shared" si="54"/>
        <v>0</v>
      </c>
      <c r="AU73">
        <f t="shared" si="54"/>
        <v>0</v>
      </c>
    </row>
    <row r="74" spans="1:47" ht="12.75">
      <c r="A74" s="4">
        <v>1990</v>
      </c>
      <c r="B74">
        <f t="shared" si="24"/>
        <v>32</v>
      </c>
      <c r="C74">
        <f t="shared" si="24"/>
        <v>49</v>
      </c>
      <c r="D74">
        <f t="shared" si="24"/>
        <v>29</v>
      </c>
      <c r="E74">
        <f t="shared" si="24"/>
        <v>21</v>
      </c>
      <c r="F74">
        <f t="shared" si="24"/>
        <v>56</v>
      </c>
      <c r="G74">
        <f t="shared" si="24"/>
        <v>187</v>
      </c>
      <c r="I74" s="4">
        <v>1990</v>
      </c>
      <c r="J74">
        <f aca="true" t="shared" si="55" ref="J74:O74">J53+J32</f>
        <v>15</v>
      </c>
      <c r="K74">
        <f t="shared" si="55"/>
        <v>34</v>
      </c>
      <c r="L74">
        <f t="shared" si="55"/>
        <v>24</v>
      </c>
      <c r="M74">
        <f t="shared" si="55"/>
        <v>21</v>
      </c>
      <c r="N74">
        <f t="shared" si="55"/>
        <v>25</v>
      </c>
      <c r="O74">
        <f t="shared" si="55"/>
        <v>119</v>
      </c>
      <c r="Q74" s="4">
        <v>1990</v>
      </c>
      <c r="R74">
        <f aca="true" t="shared" si="56" ref="R74:W74">R53+R32</f>
        <v>2</v>
      </c>
      <c r="S74">
        <f t="shared" si="56"/>
        <v>3</v>
      </c>
      <c r="T74">
        <f t="shared" si="56"/>
        <v>0</v>
      </c>
      <c r="U74">
        <f t="shared" si="56"/>
        <v>0</v>
      </c>
      <c r="V74">
        <f t="shared" si="56"/>
        <v>1</v>
      </c>
      <c r="W74">
        <f t="shared" si="56"/>
        <v>6</v>
      </c>
      <c r="Y74" s="4">
        <v>1990</v>
      </c>
      <c r="Z74">
        <f aca="true" t="shared" si="57" ref="Z74:AE74">Z53+Z32</f>
        <v>0</v>
      </c>
      <c r="AA74">
        <f t="shared" si="57"/>
        <v>0</v>
      </c>
      <c r="AB74">
        <f t="shared" si="57"/>
        <v>0</v>
      </c>
      <c r="AC74">
        <f t="shared" si="57"/>
        <v>0</v>
      </c>
      <c r="AD74">
        <f t="shared" si="57"/>
        <v>0</v>
      </c>
      <c r="AE74">
        <f t="shared" si="57"/>
        <v>0</v>
      </c>
      <c r="AG74" s="4">
        <v>1990</v>
      </c>
      <c r="AH74">
        <f aca="true" t="shared" si="58" ref="AH74:AM74">AH53+AH32</f>
        <v>25</v>
      </c>
      <c r="AI74">
        <f t="shared" si="58"/>
        <v>33</v>
      </c>
      <c r="AJ74">
        <f t="shared" si="58"/>
        <v>13</v>
      </c>
      <c r="AK74">
        <f t="shared" si="58"/>
        <v>12</v>
      </c>
      <c r="AL74">
        <f t="shared" si="58"/>
        <v>44</v>
      </c>
      <c r="AM74">
        <f t="shared" si="58"/>
        <v>127</v>
      </c>
      <c r="AO74" s="4">
        <v>1990</v>
      </c>
      <c r="AP74">
        <f aca="true" t="shared" si="59" ref="AP74:AU74">AP53+AP32</f>
        <v>0</v>
      </c>
      <c r="AQ74">
        <f t="shared" si="59"/>
        <v>0</v>
      </c>
      <c r="AR74">
        <f t="shared" si="59"/>
        <v>0</v>
      </c>
      <c r="AS74">
        <f t="shared" si="59"/>
        <v>0</v>
      </c>
      <c r="AT74">
        <f t="shared" si="59"/>
        <v>0</v>
      </c>
      <c r="AU74">
        <f t="shared" si="59"/>
        <v>0</v>
      </c>
    </row>
    <row r="75" spans="1:47" ht="12.75">
      <c r="A75" s="4">
        <v>1991</v>
      </c>
      <c r="B75">
        <f t="shared" si="24"/>
        <v>17</v>
      </c>
      <c r="C75">
        <f t="shared" si="24"/>
        <v>38</v>
      </c>
      <c r="D75">
        <f t="shared" si="24"/>
        <v>32</v>
      </c>
      <c r="E75">
        <f t="shared" si="24"/>
        <v>14</v>
      </c>
      <c r="F75">
        <f t="shared" si="24"/>
        <v>49</v>
      </c>
      <c r="G75">
        <f t="shared" si="24"/>
        <v>150</v>
      </c>
      <c r="I75" s="4">
        <v>1991</v>
      </c>
      <c r="J75">
        <f aca="true" t="shared" si="60" ref="J75:O75">J54+J33</f>
        <v>9</v>
      </c>
      <c r="K75">
        <f t="shared" si="60"/>
        <v>31</v>
      </c>
      <c r="L75">
        <f t="shared" si="60"/>
        <v>18</v>
      </c>
      <c r="M75">
        <f t="shared" si="60"/>
        <v>19</v>
      </c>
      <c r="N75">
        <f t="shared" si="60"/>
        <v>22</v>
      </c>
      <c r="O75">
        <f t="shared" si="60"/>
        <v>99</v>
      </c>
      <c r="Q75" s="4">
        <v>1991</v>
      </c>
      <c r="R75">
        <f aca="true" t="shared" si="61" ref="R75:W75">R54+R33</f>
        <v>2</v>
      </c>
      <c r="S75">
        <f t="shared" si="61"/>
        <v>5</v>
      </c>
      <c r="T75">
        <f t="shared" si="61"/>
        <v>0</v>
      </c>
      <c r="U75">
        <f t="shared" si="61"/>
        <v>1</v>
      </c>
      <c r="V75">
        <f t="shared" si="61"/>
        <v>2</v>
      </c>
      <c r="W75">
        <f t="shared" si="61"/>
        <v>10</v>
      </c>
      <c r="Y75" s="4">
        <v>1991</v>
      </c>
      <c r="Z75">
        <f aca="true" t="shared" si="62" ref="Z75:AE75">Z54+Z33</f>
        <v>0</v>
      </c>
      <c r="AA75">
        <f t="shared" si="62"/>
        <v>0</v>
      </c>
      <c r="AB75">
        <f t="shared" si="62"/>
        <v>0</v>
      </c>
      <c r="AC75">
        <f t="shared" si="62"/>
        <v>1</v>
      </c>
      <c r="AD75">
        <f t="shared" si="62"/>
        <v>0</v>
      </c>
      <c r="AE75">
        <f t="shared" si="62"/>
        <v>1</v>
      </c>
      <c r="AG75" s="4">
        <v>1991</v>
      </c>
      <c r="AH75">
        <f aca="true" t="shared" si="63" ref="AH75:AM75">AH54+AH33</f>
        <v>14</v>
      </c>
      <c r="AI75">
        <f t="shared" si="63"/>
        <v>25</v>
      </c>
      <c r="AJ75">
        <f t="shared" si="63"/>
        <v>15</v>
      </c>
      <c r="AK75">
        <f t="shared" si="63"/>
        <v>9</v>
      </c>
      <c r="AL75">
        <f t="shared" si="63"/>
        <v>31</v>
      </c>
      <c r="AM75">
        <f t="shared" si="63"/>
        <v>94</v>
      </c>
      <c r="AO75" s="4">
        <v>1991</v>
      </c>
      <c r="AP75">
        <f aca="true" t="shared" si="64" ref="AP75:AU75">AP54+AP33</f>
        <v>0</v>
      </c>
      <c r="AQ75">
        <f t="shared" si="64"/>
        <v>0</v>
      </c>
      <c r="AR75">
        <f t="shared" si="64"/>
        <v>0</v>
      </c>
      <c r="AS75">
        <f t="shared" si="64"/>
        <v>0</v>
      </c>
      <c r="AT75">
        <f t="shared" si="64"/>
        <v>0</v>
      </c>
      <c r="AU75">
        <f t="shared" si="64"/>
        <v>0</v>
      </c>
    </row>
    <row r="76" spans="1:47" ht="12.75">
      <c r="A76" s="4">
        <v>1992</v>
      </c>
      <c r="B76">
        <f t="shared" si="24"/>
        <v>21</v>
      </c>
      <c r="C76">
        <f t="shared" si="24"/>
        <v>38</v>
      </c>
      <c r="D76">
        <f t="shared" si="24"/>
        <v>48</v>
      </c>
      <c r="E76">
        <f t="shared" si="24"/>
        <v>17</v>
      </c>
      <c r="F76">
        <f t="shared" si="24"/>
        <v>200</v>
      </c>
      <c r="G76">
        <f t="shared" si="24"/>
        <v>324</v>
      </c>
      <c r="I76" s="4">
        <v>1992</v>
      </c>
      <c r="J76">
        <f aca="true" t="shared" si="65" ref="J76:O76">J55+J34</f>
        <v>10</v>
      </c>
      <c r="K76">
        <f t="shared" si="65"/>
        <v>22</v>
      </c>
      <c r="L76">
        <f t="shared" si="65"/>
        <v>22</v>
      </c>
      <c r="M76">
        <f t="shared" si="65"/>
        <v>38</v>
      </c>
      <c r="N76">
        <f t="shared" si="65"/>
        <v>116</v>
      </c>
      <c r="O76">
        <f t="shared" si="65"/>
        <v>208</v>
      </c>
      <c r="Q76" s="4">
        <v>1992</v>
      </c>
      <c r="R76">
        <f aca="true" t="shared" si="66" ref="R76:W76">R55+R34</f>
        <v>2</v>
      </c>
      <c r="S76">
        <f t="shared" si="66"/>
        <v>2</v>
      </c>
      <c r="T76">
        <f t="shared" si="66"/>
        <v>0</v>
      </c>
      <c r="U76">
        <f t="shared" si="66"/>
        <v>2</v>
      </c>
      <c r="V76">
        <f t="shared" si="66"/>
        <v>18</v>
      </c>
      <c r="W76">
        <f t="shared" si="66"/>
        <v>24</v>
      </c>
      <c r="Y76" s="4">
        <v>1992</v>
      </c>
      <c r="Z76">
        <f aca="true" t="shared" si="67" ref="Z76:AE76">Z55+Z34</f>
        <v>0</v>
      </c>
      <c r="AA76">
        <f t="shared" si="67"/>
        <v>0</v>
      </c>
      <c r="AB76">
        <f t="shared" si="67"/>
        <v>0</v>
      </c>
      <c r="AC76">
        <f t="shared" si="67"/>
        <v>0</v>
      </c>
      <c r="AD76">
        <f t="shared" si="67"/>
        <v>1</v>
      </c>
      <c r="AE76">
        <f t="shared" si="67"/>
        <v>1</v>
      </c>
      <c r="AG76" s="4">
        <v>1992</v>
      </c>
      <c r="AH76">
        <f aca="true" t="shared" si="68" ref="AH76:AM76">AH55+AH34</f>
        <v>13</v>
      </c>
      <c r="AI76">
        <f t="shared" si="68"/>
        <v>31</v>
      </c>
      <c r="AJ76">
        <f t="shared" si="68"/>
        <v>30</v>
      </c>
      <c r="AK76">
        <f t="shared" si="68"/>
        <v>15</v>
      </c>
      <c r="AL76">
        <f t="shared" si="68"/>
        <v>108</v>
      </c>
      <c r="AM76">
        <f t="shared" si="68"/>
        <v>197</v>
      </c>
      <c r="AO76" s="4">
        <v>1992</v>
      </c>
      <c r="AP76">
        <f aca="true" t="shared" si="69" ref="AP76:AU76">AP55+AP34</f>
        <v>0</v>
      </c>
      <c r="AQ76">
        <f t="shared" si="69"/>
        <v>0</v>
      </c>
      <c r="AR76">
        <f t="shared" si="69"/>
        <v>0</v>
      </c>
      <c r="AS76">
        <f t="shared" si="69"/>
        <v>0</v>
      </c>
      <c r="AT76">
        <f t="shared" si="69"/>
        <v>0</v>
      </c>
      <c r="AU76">
        <f t="shared" si="69"/>
        <v>0</v>
      </c>
    </row>
    <row r="77" spans="1:47" ht="12.75">
      <c r="A77" s="4">
        <v>1993</v>
      </c>
      <c r="B77">
        <f t="shared" si="24"/>
        <v>16</v>
      </c>
      <c r="C77">
        <f t="shared" si="24"/>
        <v>34</v>
      </c>
      <c r="D77">
        <f t="shared" si="24"/>
        <v>59</v>
      </c>
      <c r="E77">
        <f t="shared" si="24"/>
        <v>28</v>
      </c>
      <c r="F77">
        <f t="shared" si="24"/>
        <v>200</v>
      </c>
      <c r="G77">
        <f t="shared" si="24"/>
        <v>337</v>
      </c>
      <c r="I77" s="4">
        <v>1993</v>
      </c>
      <c r="J77">
        <f aca="true" t="shared" si="70" ref="J77:O77">J56+J35</f>
        <v>17</v>
      </c>
      <c r="K77">
        <f t="shared" si="70"/>
        <v>25</v>
      </c>
      <c r="L77">
        <f t="shared" si="70"/>
        <v>19</v>
      </c>
      <c r="M77">
        <f t="shared" si="70"/>
        <v>48</v>
      </c>
      <c r="N77">
        <f t="shared" si="70"/>
        <v>119</v>
      </c>
      <c r="O77">
        <f t="shared" si="70"/>
        <v>228</v>
      </c>
      <c r="Q77" s="4">
        <v>1993</v>
      </c>
      <c r="R77">
        <f aca="true" t="shared" si="71" ref="R77:W77">R56+R35</f>
        <v>0</v>
      </c>
      <c r="S77">
        <f t="shared" si="71"/>
        <v>3</v>
      </c>
      <c r="T77">
        <f t="shared" si="71"/>
        <v>3</v>
      </c>
      <c r="U77">
        <f t="shared" si="71"/>
        <v>0</v>
      </c>
      <c r="V77">
        <f t="shared" si="71"/>
        <v>12</v>
      </c>
      <c r="W77">
        <f t="shared" si="71"/>
        <v>18</v>
      </c>
      <c r="Y77" s="4">
        <v>1993</v>
      </c>
      <c r="Z77">
        <f aca="true" t="shared" si="72" ref="Z77:AE77">Z56+Z35</f>
        <v>0</v>
      </c>
      <c r="AA77">
        <f t="shared" si="72"/>
        <v>0</v>
      </c>
      <c r="AB77">
        <f t="shared" si="72"/>
        <v>0</v>
      </c>
      <c r="AC77">
        <f t="shared" si="72"/>
        <v>0</v>
      </c>
      <c r="AD77">
        <f t="shared" si="72"/>
        <v>0</v>
      </c>
      <c r="AE77">
        <f t="shared" si="72"/>
        <v>0</v>
      </c>
      <c r="AG77" s="4">
        <v>1993</v>
      </c>
      <c r="AH77">
        <f aca="true" t="shared" si="73" ref="AH77:AM77">AH56+AH35</f>
        <v>18</v>
      </c>
      <c r="AI77">
        <f t="shared" si="73"/>
        <v>35</v>
      </c>
      <c r="AJ77">
        <f t="shared" si="73"/>
        <v>26</v>
      </c>
      <c r="AK77">
        <f t="shared" si="73"/>
        <v>14</v>
      </c>
      <c r="AL77">
        <f t="shared" si="73"/>
        <v>138</v>
      </c>
      <c r="AM77">
        <f t="shared" si="73"/>
        <v>231</v>
      </c>
      <c r="AO77" s="4">
        <v>1993</v>
      </c>
      <c r="AP77">
        <f aca="true" t="shared" si="74" ref="AP77:AU77">AP56+AP35</f>
        <v>0</v>
      </c>
      <c r="AQ77">
        <f t="shared" si="74"/>
        <v>0</v>
      </c>
      <c r="AR77">
        <f t="shared" si="74"/>
        <v>0</v>
      </c>
      <c r="AS77">
        <f t="shared" si="74"/>
        <v>0</v>
      </c>
      <c r="AT77">
        <f t="shared" si="74"/>
        <v>0</v>
      </c>
      <c r="AU77">
        <f t="shared" si="74"/>
        <v>0</v>
      </c>
    </row>
    <row r="78" spans="1:47" ht="12.75">
      <c r="A78" s="4">
        <v>1994</v>
      </c>
      <c r="B78">
        <f t="shared" si="24"/>
        <v>19</v>
      </c>
      <c r="C78">
        <f t="shared" si="24"/>
        <v>39</v>
      </c>
      <c r="D78">
        <f t="shared" si="24"/>
        <v>56</v>
      </c>
      <c r="E78">
        <f t="shared" si="24"/>
        <v>34</v>
      </c>
      <c r="F78">
        <f t="shared" si="24"/>
        <v>230</v>
      </c>
      <c r="G78">
        <f t="shared" si="24"/>
        <v>378</v>
      </c>
      <c r="I78" s="4">
        <v>1994</v>
      </c>
      <c r="J78">
        <f aca="true" t="shared" si="75" ref="J78:O78">J57+J36</f>
        <v>15</v>
      </c>
      <c r="K78">
        <f t="shared" si="75"/>
        <v>20</v>
      </c>
      <c r="L78">
        <f t="shared" si="75"/>
        <v>45</v>
      </c>
      <c r="M78">
        <f t="shared" si="75"/>
        <v>55</v>
      </c>
      <c r="N78">
        <f t="shared" si="75"/>
        <v>137</v>
      </c>
      <c r="O78">
        <f t="shared" si="75"/>
        <v>272</v>
      </c>
      <c r="Q78" s="4">
        <v>1994</v>
      </c>
      <c r="R78">
        <f aca="true" t="shared" si="76" ref="R78:W78">R57+R36</f>
        <v>1</v>
      </c>
      <c r="S78">
        <f t="shared" si="76"/>
        <v>1</v>
      </c>
      <c r="T78">
        <f t="shared" si="76"/>
        <v>9</v>
      </c>
      <c r="U78">
        <f t="shared" si="76"/>
        <v>1</v>
      </c>
      <c r="V78">
        <f t="shared" si="76"/>
        <v>16</v>
      </c>
      <c r="W78">
        <f t="shared" si="76"/>
        <v>28</v>
      </c>
      <c r="Y78" s="4">
        <v>1994</v>
      </c>
      <c r="Z78">
        <f aca="true" t="shared" si="77" ref="Z78:AE78">Z57+Z36</f>
        <v>0</v>
      </c>
      <c r="AA78">
        <f t="shared" si="77"/>
        <v>0</v>
      </c>
      <c r="AB78">
        <f t="shared" si="77"/>
        <v>1</v>
      </c>
      <c r="AC78">
        <f t="shared" si="77"/>
        <v>0</v>
      </c>
      <c r="AD78">
        <f t="shared" si="77"/>
        <v>0</v>
      </c>
      <c r="AE78">
        <f t="shared" si="77"/>
        <v>1</v>
      </c>
      <c r="AG78" s="4">
        <v>1994</v>
      </c>
      <c r="AH78">
        <f aca="true" t="shared" si="78" ref="AH78:AM78">AH57+AH36</f>
        <v>12</v>
      </c>
      <c r="AI78">
        <f t="shared" si="78"/>
        <v>23</v>
      </c>
      <c r="AJ78">
        <f t="shared" si="78"/>
        <v>27</v>
      </c>
      <c r="AK78">
        <f t="shared" si="78"/>
        <v>14</v>
      </c>
      <c r="AL78">
        <f t="shared" si="78"/>
        <v>138</v>
      </c>
      <c r="AM78">
        <f t="shared" si="78"/>
        <v>214</v>
      </c>
      <c r="AO78" s="4">
        <v>1994</v>
      </c>
      <c r="AP78">
        <f aca="true" t="shared" si="79" ref="AP78:AU78">AP57+AP36</f>
        <v>0</v>
      </c>
      <c r="AQ78">
        <f t="shared" si="79"/>
        <v>0</v>
      </c>
      <c r="AR78">
        <f t="shared" si="79"/>
        <v>0</v>
      </c>
      <c r="AS78">
        <f t="shared" si="79"/>
        <v>0</v>
      </c>
      <c r="AT78">
        <f t="shared" si="79"/>
        <v>0</v>
      </c>
      <c r="AU78">
        <f t="shared" si="79"/>
        <v>0</v>
      </c>
    </row>
    <row r="79" spans="1:47" ht="12.75">
      <c r="A79" s="4">
        <v>1995</v>
      </c>
      <c r="B79">
        <f t="shared" si="24"/>
        <v>13</v>
      </c>
      <c r="C79">
        <f t="shared" si="24"/>
        <v>41</v>
      </c>
      <c r="D79">
        <f t="shared" si="24"/>
        <v>71</v>
      </c>
      <c r="E79">
        <f t="shared" si="24"/>
        <v>30</v>
      </c>
      <c r="F79">
        <f t="shared" si="24"/>
        <v>231</v>
      </c>
      <c r="G79">
        <f t="shared" si="24"/>
        <v>386</v>
      </c>
      <c r="I79" s="4">
        <v>1995</v>
      </c>
      <c r="J79">
        <f aca="true" t="shared" si="80" ref="J79:O79">J58+J37</f>
        <v>6</v>
      </c>
      <c r="K79">
        <f t="shared" si="80"/>
        <v>28</v>
      </c>
      <c r="L79">
        <f t="shared" si="80"/>
        <v>22</v>
      </c>
      <c r="M79">
        <f t="shared" si="80"/>
        <v>54</v>
      </c>
      <c r="N79">
        <f t="shared" si="80"/>
        <v>143</v>
      </c>
      <c r="O79">
        <f t="shared" si="80"/>
        <v>253</v>
      </c>
      <c r="Q79" s="4">
        <v>1995</v>
      </c>
      <c r="R79">
        <f aca="true" t="shared" si="81" ref="R79:W79">R58+R37</f>
        <v>2</v>
      </c>
      <c r="S79">
        <f t="shared" si="81"/>
        <v>1</v>
      </c>
      <c r="T79">
        <f t="shared" si="81"/>
        <v>1</v>
      </c>
      <c r="U79">
        <f t="shared" si="81"/>
        <v>1</v>
      </c>
      <c r="V79">
        <f t="shared" si="81"/>
        <v>16</v>
      </c>
      <c r="W79">
        <f t="shared" si="81"/>
        <v>21</v>
      </c>
      <c r="Y79" s="4">
        <v>1995</v>
      </c>
      <c r="Z79">
        <f aca="true" t="shared" si="82" ref="Z79:AE79">Z58+Z37</f>
        <v>0</v>
      </c>
      <c r="AA79">
        <f t="shared" si="82"/>
        <v>1</v>
      </c>
      <c r="AB79">
        <f t="shared" si="82"/>
        <v>0</v>
      </c>
      <c r="AC79">
        <f t="shared" si="82"/>
        <v>0</v>
      </c>
      <c r="AD79">
        <f t="shared" si="82"/>
        <v>0</v>
      </c>
      <c r="AE79">
        <f t="shared" si="82"/>
        <v>1</v>
      </c>
      <c r="AG79" s="4">
        <v>1995</v>
      </c>
      <c r="AH79">
        <f aca="true" t="shared" si="83" ref="AH79:AM79">AH58+AH37</f>
        <v>14</v>
      </c>
      <c r="AI79">
        <f t="shared" si="83"/>
        <v>25</v>
      </c>
      <c r="AJ79">
        <f t="shared" si="83"/>
        <v>17</v>
      </c>
      <c r="AK79">
        <f t="shared" si="83"/>
        <v>12</v>
      </c>
      <c r="AL79">
        <f t="shared" si="83"/>
        <v>140</v>
      </c>
      <c r="AM79">
        <f t="shared" si="83"/>
        <v>208</v>
      </c>
      <c r="AO79" s="4">
        <v>1995</v>
      </c>
      <c r="AP79">
        <f aca="true" t="shared" si="84" ref="AP79:AU79">AP58+AP37</f>
        <v>0</v>
      </c>
      <c r="AQ79">
        <f t="shared" si="84"/>
        <v>0</v>
      </c>
      <c r="AR79">
        <f t="shared" si="84"/>
        <v>0</v>
      </c>
      <c r="AS79">
        <f t="shared" si="84"/>
        <v>0</v>
      </c>
      <c r="AT79">
        <f t="shared" si="84"/>
        <v>0</v>
      </c>
      <c r="AU79">
        <f t="shared" si="84"/>
        <v>0</v>
      </c>
    </row>
    <row r="80" spans="1:47" ht="12.75">
      <c r="A80" s="4">
        <v>1996</v>
      </c>
      <c r="B80">
        <f t="shared" si="24"/>
        <v>46</v>
      </c>
      <c r="C80">
        <f t="shared" si="24"/>
        <v>69</v>
      </c>
      <c r="D80">
        <f t="shared" si="24"/>
        <v>97</v>
      </c>
      <c r="E80">
        <f t="shared" si="24"/>
        <v>56</v>
      </c>
      <c r="F80">
        <f t="shared" si="24"/>
        <v>142</v>
      </c>
      <c r="G80">
        <f t="shared" si="24"/>
        <v>410</v>
      </c>
      <c r="I80" s="4">
        <v>1996</v>
      </c>
      <c r="J80">
        <f aca="true" t="shared" si="85" ref="J80:O80">J59+J38</f>
        <v>35</v>
      </c>
      <c r="K80">
        <f t="shared" si="85"/>
        <v>37</v>
      </c>
      <c r="L80">
        <f t="shared" si="85"/>
        <v>34</v>
      </c>
      <c r="M80">
        <f t="shared" si="85"/>
        <v>95</v>
      </c>
      <c r="N80">
        <f t="shared" si="85"/>
        <v>98</v>
      </c>
      <c r="O80">
        <f t="shared" si="85"/>
        <v>299</v>
      </c>
      <c r="Q80" s="4">
        <v>1996</v>
      </c>
      <c r="R80">
        <f aca="true" t="shared" si="86" ref="R80:W80">R59+R38</f>
        <v>10</v>
      </c>
      <c r="S80">
        <f t="shared" si="86"/>
        <v>1</v>
      </c>
      <c r="T80">
        <f t="shared" si="86"/>
        <v>6</v>
      </c>
      <c r="U80">
        <f t="shared" si="86"/>
        <v>5</v>
      </c>
      <c r="V80">
        <f t="shared" si="86"/>
        <v>12</v>
      </c>
      <c r="W80">
        <f t="shared" si="86"/>
        <v>34</v>
      </c>
      <c r="Y80" s="4">
        <v>1996</v>
      </c>
      <c r="Z80">
        <f aca="true" t="shared" si="87" ref="Z80:AE80">Z59+Z38</f>
        <v>0</v>
      </c>
      <c r="AA80">
        <f t="shared" si="87"/>
        <v>0</v>
      </c>
      <c r="AB80">
        <f t="shared" si="87"/>
        <v>1</v>
      </c>
      <c r="AC80">
        <f t="shared" si="87"/>
        <v>1</v>
      </c>
      <c r="AD80">
        <f t="shared" si="87"/>
        <v>0</v>
      </c>
      <c r="AE80">
        <f t="shared" si="87"/>
        <v>2</v>
      </c>
      <c r="AG80" s="4">
        <v>1996</v>
      </c>
      <c r="AH80">
        <f aca="true" t="shared" si="88" ref="AH80:AM80">AH59+AH38</f>
        <v>42</v>
      </c>
      <c r="AI80">
        <f t="shared" si="88"/>
        <v>58</v>
      </c>
      <c r="AJ80">
        <f t="shared" si="88"/>
        <v>37</v>
      </c>
      <c r="AK80">
        <f t="shared" si="88"/>
        <v>52</v>
      </c>
      <c r="AL80">
        <f t="shared" si="88"/>
        <v>123</v>
      </c>
      <c r="AM80">
        <f t="shared" si="88"/>
        <v>312</v>
      </c>
      <c r="AO80" s="4">
        <v>1996</v>
      </c>
      <c r="AP80">
        <f aca="true" t="shared" si="89" ref="AP80:AU80">AP59+AP38</f>
        <v>0</v>
      </c>
      <c r="AQ80">
        <f t="shared" si="89"/>
        <v>0</v>
      </c>
      <c r="AR80">
        <f t="shared" si="89"/>
        <v>0</v>
      </c>
      <c r="AS80">
        <f t="shared" si="89"/>
        <v>0</v>
      </c>
      <c r="AT80">
        <f t="shared" si="89"/>
        <v>0</v>
      </c>
      <c r="AU80">
        <f t="shared" si="89"/>
        <v>0</v>
      </c>
    </row>
    <row r="81" spans="1:47" ht="12.75">
      <c r="A81" s="4">
        <v>1997</v>
      </c>
      <c r="B81">
        <f t="shared" si="24"/>
        <v>45</v>
      </c>
      <c r="C81">
        <f t="shared" si="24"/>
        <v>99</v>
      </c>
      <c r="D81">
        <f t="shared" si="24"/>
        <v>132</v>
      </c>
      <c r="E81">
        <f t="shared" si="24"/>
        <v>73</v>
      </c>
      <c r="F81">
        <f t="shared" si="24"/>
        <v>164</v>
      </c>
      <c r="G81">
        <f t="shared" si="24"/>
        <v>513</v>
      </c>
      <c r="I81" s="4">
        <v>1997</v>
      </c>
      <c r="J81">
        <f aca="true" t="shared" si="90" ref="J81:O81">J60+J39</f>
        <v>35</v>
      </c>
      <c r="K81">
        <f t="shared" si="90"/>
        <v>47</v>
      </c>
      <c r="L81">
        <f t="shared" si="90"/>
        <v>34</v>
      </c>
      <c r="M81">
        <f t="shared" si="90"/>
        <v>162</v>
      </c>
      <c r="N81">
        <f t="shared" si="90"/>
        <v>69</v>
      </c>
      <c r="O81">
        <f t="shared" si="90"/>
        <v>347</v>
      </c>
      <c r="Q81" s="4">
        <v>1997</v>
      </c>
      <c r="R81">
        <f aca="true" t="shared" si="91" ref="R81:W81">R60+R39</f>
        <v>6</v>
      </c>
      <c r="S81">
        <f t="shared" si="91"/>
        <v>0</v>
      </c>
      <c r="T81">
        <f t="shared" si="91"/>
        <v>8</v>
      </c>
      <c r="U81">
        <f t="shared" si="91"/>
        <v>3</v>
      </c>
      <c r="V81">
        <f t="shared" si="91"/>
        <v>14</v>
      </c>
      <c r="W81">
        <f t="shared" si="91"/>
        <v>31</v>
      </c>
      <c r="Y81" s="4">
        <v>1997</v>
      </c>
      <c r="Z81">
        <f aca="true" t="shared" si="92" ref="Z81:AE81">Z60+Z39</f>
        <v>1</v>
      </c>
      <c r="AA81">
        <f t="shared" si="92"/>
        <v>0</v>
      </c>
      <c r="AB81">
        <f t="shared" si="92"/>
        <v>1</v>
      </c>
      <c r="AC81">
        <f t="shared" si="92"/>
        <v>0</v>
      </c>
      <c r="AD81">
        <f t="shared" si="92"/>
        <v>1</v>
      </c>
      <c r="AE81">
        <f t="shared" si="92"/>
        <v>3</v>
      </c>
      <c r="AG81" s="4">
        <v>1997</v>
      </c>
      <c r="AH81">
        <f aca="true" t="shared" si="93" ref="AH81:AM81">AH60+AH39</f>
        <v>50</v>
      </c>
      <c r="AI81">
        <f t="shared" si="93"/>
        <v>53</v>
      </c>
      <c r="AJ81">
        <f t="shared" si="93"/>
        <v>57</v>
      </c>
      <c r="AK81">
        <f t="shared" si="93"/>
        <v>54</v>
      </c>
      <c r="AL81">
        <f t="shared" si="93"/>
        <v>138</v>
      </c>
      <c r="AM81">
        <f t="shared" si="93"/>
        <v>352</v>
      </c>
      <c r="AO81" s="4">
        <v>1997</v>
      </c>
      <c r="AP81">
        <f aca="true" t="shared" si="94" ref="AP81:AU81">AP60+AP39</f>
        <v>0</v>
      </c>
      <c r="AQ81">
        <f t="shared" si="94"/>
        <v>0</v>
      </c>
      <c r="AR81">
        <f t="shared" si="94"/>
        <v>0</v>
      </c>
      <c r="AS81">
        <f t="shared" si="94"/>
        <v>0</v>
      </c>
      <c r="AT81">
        <f t="shared" si="94"/>
        <v>0</v>
      </c>
      <c r="AU81">
        <f t="shared" si="94"/>
        <v>0</v>
      </c>
    </row>
    <row r="82" spans="1:47" ht="12.75">
      <c r="A82" s="4">
        <v>1998</v>
      </c>
      <c r="B82">
        <f t="shared" si="24"/>
        <v>75</v>
      </c>
      <c r="C82">
        <f t="shared" si="24"/>
        <v>124</v>
      </c>
      <c r="D82">
        <f t="shared" si="24"/>
        <v>164</v>
      </c>
      <c r="E82">
        <f t="shared" si="24"/>
        <v>111</v>
      </c>
      <c r="F82">
        <f t="shared" si="24"/>
        <v>184</v>
      </c>
      <c r="G82">
        <f t="shared" si="24"/>
        <v>658</v>
      </c>
      <c r="I82" s="4">
        <v>1998</v>
      </c>
      <c r="J82">
        <f aca="true" t="shared" si="95" ref="J82:O82">J61+J40</f>
        <v>56</v>
      </c>
      <c r="K82">
        <f t="shared" si="95"/>
        <v>75</v>
      </c>
      <c r="L82">
        <f t="shared" si="95"/>
        <v>65</v>
      </c>
      <c r="M82">
        <f t="shared" si="95"/>
        <v>167</v>
      </c>
      <c r="N82">
        <f t="shared" si="95"/>
        <v>88</v>
      </c>
      <c r="O82">
        <f t="shared" si="95"/>
        <v>451</v>
      </c>
      <c r="Q82" s="4">
        <v>1998</v>
      </c>
      <c r="R82">
        <f aca="true" t="shared" si="96" ref="R82:W82">R61+R40</f>
        <v>3</v>
      </c>
      <c r="S82">
        <f t="shared" si="96"/>
        <v>8</v>
      </c>
      <c r="T82">
        <f t="shared" si="96"/>
        <v>2</v>
      </c>
      <c r="U82">
        <f t="shared" si="96"/>
        <v>4</v>
      </c>
      <c r="V82">
        <f t="shared" si="96"/>
        <v>12</v>
      </c>
      <c r="W82">
        <f t="shared" si="96"/>
        <v>29</v>
      </c>
      <c r="Y82" s="4">
        <v>1998</v>
      </c>
      <c r="Z82">
        <f aca="true" t="shared" si="97" ref="Z82:AE82">Z61+Z40</f>
        <v>0</v>
      </c>
      <c r="AA82">
        <f t="shared" si="97"/>
        <v>1</v>
      </c>
      <c r="AB82">
        <f t="shared" si="97"/>
        <v>1</v>
      </c>
      <c r="AC82">
        <f t="shared" si="97"/>
        <v>0</v>
      </c>
      <c r="AD82">
        <f t="shared" si="97"/>
        <v>2</v>
      </c>
      <c r="AE82">
        <f t="shared" si="97"/>
        <v>4</v>
      </c>
      <c r="AG82" s="4">
        <v>1998</v>
      </c>
      <c r="AH82">
        <f aca="true" t="shared" si="98" ref="AH82:AM82">AH61+AH40</f>
        <v>63</v>
      </c>
      <c r="AI82">
        <f t="shared" si="98"/>
        <v>52</v>
      </c>
      <c r="AJ82">
        <f t="shared" si="98"/>
        <v>59</v>
      </c>
      <c r="AK82">
        <f t="shared" si="98"/>
        <v>68</v>
      </c>
      <c r="AL82">
        <f t="shared" si="98"/>
        <v>166</v>
      </c>
      <c r="AM82">
        <f t="shared" si="98"/>
        <v>408</v>
      </c>
      <c r="AO82" s="4">
        <v>1998</v>
      </c>
      <c r="AP82">
        <f aca="true" t="shared" si="99" ref="AP82:AU82">AP61+AP40</f>
        <v>0</v>
      </c>
      <c r="AQ82">
        <f t="shared" si="99"/>
        <v>0</v>
      </c>
      <c r="AR82">
        <f t="shared" si="99"/>
        <v>0</v>
      </c>
      <c r="AS82">
        <f t="shared" si="99"/>
        <v>0</v>
      </c>
      <c r="AT82">
        <f t="shared" si="99"/>
        <v>0</v>
      </c>
      <c r="AU82">
        <f t="shared" si="99"/>
        <v>0</v>
      </c>
    </row>
    <row r="83" spans="1:47" ht="12.75">
      <c r="A83" s="4">
        <v>1999</v>
      </c>
      <c r="B83">
        <f t="shared" si="24"/>
        <v>103</v>
      </c>
      <c r="C83">
        <f t="shared" si="24"/>
        <v>132</v>
      </c>
      <c r="D83">
        <f t="shared" si="24"/>
        <v>202</v>
      </c>
      <c r="E83">
        <f t="shared" si="24"/>
        <v>149</v>
      </c>
      <c r="F83">
        <f t="shared" si="24"/>
        <v>236</v>
      </c>
      <c r="G83">
        <f t="shared" si="24"/>
        <v>822</v>
      </c>
      <c r="I83" s="4">
        <v>1999</v>
      </c>
      <c r="J83">
        <f aca="true" t="shared" si="100" ref="J83:O83">J62+J41</f>
        <v>68</v>
      </c>
      <c r="K83">
        <f t="shared" si="100"/>
        <v>80</v>
      </c>
      <c r="L83">
        <f t="shared" si="100"/>
        <v>77</v>
      </c>
      <c r="M83">
        <f t="shared" si="100"/>
        <v>276</v>
      </c>
      <c r="N83">
        <f t="shared" si="100"/>
        <v>122</v>
      </c>
      <c r="O83">
        <f t="shared" si="100"/>
        <v>623</v>
      </c>
      <c r="Q83" s="4">
        <v>1999</v>
      </c>
      <c r="R83">
        <f aca="true" t="shared" si="101" ref="R83:W83">R62+R41</f>
        <v>7</v>
      </c>
      <c r="S83">
        <f t="shared" si="101"/>
        <v>8</v>
      </c>
      <c r="T83">
        <f t="shared" si="101"/>
        <v>6</v>
      </c>
      <c r="U83">
        <f t="shared" si="101"/>
        <v>5</v>
      </c>
      <c r="V83">
        <f t="shared" si="101"/>
        <v>14</v>
      </c>
      <c r="W83">
        <f t="shared" si="101"/>
        <v>40</v>
      </c>
      <c r="Y83" s="4">
        <v>1999</v>
      </c>
      <c r="Z83">
        <f aca="true" t="shared" si="102" ref="Z83:AE83">Z62+Z41</f>
        <v>0</v>
      </c>
      <c r="AA83">
        <f t="shared" si="102"/>
        <v>0</v>
      </c>
      <c r="AB83">
        <f t="shared" si="102"/>
        <v>1</v>
      </c>
      <c r="AC83">
        <f t="shared" si="102"/>
        <v>1</v>
      </c>
      <c r="AD83">
        <f t="shared" si="102"/>
        <v>2</v>
      </c>
      <c r="AE83">
        <f t="shared" si="102"/>
        <v>4</v>
      </c>
      <c r="AG83" s="4">
        <v>1999</v>
      </c>
      <c r="AH83">
        <f aca="true" t="shared" si="103" ref="AH83:AM83">AH62+AH41</f>
        <v>69</v>
      </c>
      <c r="AI83">
        <f t="shared" si="103"/>
        <v>82</v>
      </c>
      <c r="AJ83">
        <f t="shared" si="103"/>
        <v>91</v>
      </c>
      <c r="AK83">
        <f t="shared" si="103"/>
        <v>106</v>
      </c>
      <c r="AL83">
        <f t="shared" si="103"/>
        <v>195</v>
      </c>
      <c r="AM83">
        <f t="shared" si="103"/>
        <v>543</v>
      </c>
      <c r="AO83" s="4">
        <v>1999</v>
      </c>
      <c r="AP83">
        <f aca="true" t="shared" si="104" ref="AP83:AU83">AP62+AP41</f>
        <v>0</v>
      </c>
      <c r="AQ83">
        <f t="shared" si="104"/>
        <v>0</v>
      </c>
      <c r="AR83">
        <f t="shared" si="104"/>
        <v>0</v>
      </c>
      <c r="AS83">
        <f t="shared" si="104"/>
        <v>0</v>
      </c>
      <c r="AT83">
        <f t="shared" si="104"/>
        <v>0</v>
      </c>
      <c r="AU83">
        <f t="shared" si="104"/>
        <v>0</v>
      </c>
    </row>
    <row r="84" spans="1:47" ht="12.75">
      <c r="A84" s="4" t="s">
        <v>13</v>
      </c>
      <c r="B84">
        <f t="shared" si="24"/>
        <v>654</v>
      </c>
      <c r="C84">
        <f t="shared" si="24"/>
        <v>1129</v>
      </c>
      <c r="D84">
        <f t="shared" si="24"/>
        <v>1174</v>
      </c>
      <c r="E84">
        <f t="shared" si="24"/>
        <v>603</v>
      </c>
      <c r="F84">
        <f t="shared" si="24"/>
        <v>1950</v>
      </c>
      <c r="G84">
        <f t="shared" si="24"/>
        <v>5510</v>
      </c>
      <c r="I84" s="4" t="s">
        <v>13</v>
      </c>
      <c r="J84">
        <f aca="true" t="shared" si="105" ref="J84:O84">J63+J42</f>
        <v>441</v>
      </c>
      <c r="K84">
        <f t="shared" si="105"/>
        <v>635</v>
      </c>
      <c r="L84">
        <f t="shared" si="105"/>
        <v>461</v>
      </c>
      <c r="M84">
        <f t="shared" si="105"/>
        <v>962</v>
      </c>
      <c r="N84">
        <f t="shared" si="105"/>
        <v>1055</v>
      </c>
      <c r="O84">
        <f t="shared" si="105"/>
        <v>3554</v>
      </c>
      <c r="Q84" s="4" t="s">
        <v>13</v>
      </c>
      <c r="R84">
        <f aca="true" t="shared" si="106" ref="R84:W84">R63+R42</f>
        <v>42</v>
      </c>
      <c r="S84">
        <f t="shared" si="106"/>
        <v>44</v>
      </c>
      <c r="T84">
        <f t="shared" si="106"/>
        <v>41</v>
      </c>
      <c r="U84">
        <f t="shared" si="106"/>
        <v>22</v>
      </c>
      <c r="V84">
        <f t="shared" si="106"/>
        <v>121</v>
      </c>
      <c r="W84">
        <f t="shared" si="106"/>
        <v>270</v>
      </c>
      <c r="Y84" s="4" t="s">
        <v>13</v>
      </c>
      <c r="Z84">
        <f aca="true" t="shared" si="107" ref="Z84:AE84">Z63+Z42</f>
        <v>3</v>
      </c>
      <c r="AA84">
        <f t="shared" si="107"/>
        <v>3</v>
      </c>
      <c r="AB84">
        <f t="shared" si="107"/>
        <v>6</v>
      </c>
      <c r="AC84">
        <f t="shared" si="107"/>
        <v>3</v>
      </c>
      <c r="AD84">
        <f t="shared" si="107"/>
        <v>6</v>
      </c>
      <c r="AE84">
        <f t="shared" si="107"/>
        <v>21</v>
      </c>
      <c r="AG84" s="4" t="s">
        <v>13</v>
      </c>
      <c r="AH84">
        <f aca="true" t="shared" si="108" ref="AH84:AM84">AH63+AH42</f>
        <v>553</v>
      </c>
      <c r="AI84">
        <f t="shared" si="108"/>
        <v>695</v>
      </c>
      <c r="AJ84">
        <f t="shared" si="108"/>
        <v>491</v>
      </c>
      <c r="AK84">
        <f t="shared" si="108"/>
        <v>385</v>
      </c>
      <c r="AL84">
        <f t="shared" si="108"/>
        <v>1370</v>
      </c>
      <c r="AM84">
        <f t="shared" si="108"/>
        <v>3494</v>
      </c>
      <c r="AO84" s="4" t="s">
        <v>13</v>
      </c>
      <c r="AP84">
        <f aca="true" t="shared" si="109" ref="AP84:AU84">AP63+AP42</f>
        <v>0</v>
      </c>
      <c r="AQ84">
        <f t="shared" si="109"/>
        <v>0</v>
      </c>
      <c r="AR84">
        <f t="shared" si="109"/>
        <v>0</v>
      </c>
      <c r="AS84">
        <f t="shared" si="109"/>
        <v>0</v>
      </c>
      <c r="AT84">
        <f t="shared" si="109"/>
        <v>0</v>
      </c>
      <c r="AU84">
        <f t="shared" si="109"/>
        <v>0</v>
      </c>
    </row>
    <row r="85" spans="9:41" ht="12.75">
      <c r="I85" s="4"/>
      <c r="Q85" s="4"/>
      <c r="Y85" s="4"/>
      <c r="AG85" s="4"/>
      <c r="AO85" s="4"/>
    </row>
    <row r="86" spans="1:41" ht="12.75">
      <c r="A86" s="4" t="s">
        <v>11</v>
      </c>
      <c r="I86" s="4" t="s">
        <v>12</v>
      </c>
      <c r="Q86" s="4" t="s">
        <v>28</v>
      </c>
      <c r="Y86" s="4" t="s">
        <v>29</v>
      </c>
      <c r="AG86" s="4" t="s">
        <v>26</v>
      </c>
      <c r="AO86" s="4" t="s">
        <v>27</v>
      </c>
    </row>
    <row r="87" spans="1:47" ht="12.75">
      <c r="A87" s="4" t="s">
        <v>22</v>
      </c>
      <c r="B87" s="12" t="s">
        <v>0</v>
      </c>
      <c r="C87" s="12" t="s">
        <v>5</v>
      </c>
      <c r="D87" s="12" t="s">
        <v>6</v>
      </c>
      <c r="E87" s="12" t="s">
        <v>1</v>
      </c>
      <c r="F87" s="12" t="s">
        <v>4</v>
      </c>
      <c r="G87" s="12" t="s">
        <v>13</v>
      </c>
      <c r="I87" s="4" t="s">
        <v>22</v>
      </c>
      <c r="J87" s="12" t="s">
        <v>0</v>
      </c>
      <c r="K87" s="12" t="s">
        <v>5</v>
      </c>
      <c r="L87" s="12" t="s">
        <v>6</v>
      </c>
      <c r="M87" s="12" t="s">
        <v>1</v>
      </c>
      <c r="N87" s="12" t="s">
        <v>4</v>
      </c>
      <c r="O87" s="12" t="s">
        <v>13</v>
      </c>
      <c r="Q87" s="4" t="s">
        <v>22</v>
      </c>
      <c r="R87" s="12" t="s">
        <v>0</v>
      </c>
      <c r="S87" s="12" t="s">
        <v>5</v>
      </c>
      <c r="T87" s="12" t="s">
        <v>6</v>
      </c>
      <c r="U87" s="12" t="s">
        <v>1</v>
      </c>
      <c r="V87" s="12" t="s">
        <v>4</v>
      </c>
      <c r="W87" s="12" t="s">
        <v>13</v>
      </c>
      <c r="Y87" s="4" t="s">
        <v>22</v>
      </c>
      <c r="Z87" s="12" t="s">
        <v>0</v>
      </c>
      <c r="AA87" s="12" t="s">
        <v>5</v>
      </c>
      <c r="AB87" s="12" t="s">
        <v>6</v>
      </c>
      <c r="AC87" s="12" t="s">
        <v>1</v>
      </c>
      <c r="AD87" s="12" t="s">
        <v>4</v>
      </c>
      <c r="AE87" s="12" t="s">
        <v>13</v>
      </c>
      <c r="AG87" s="4" t="s">
        <v>22</v>
      </c>
      <c r="AH87" s="12" t="s">
        <v>0</v>
      </c>
      <c r="AI87" s="12" t="s">
        <v>5</v>
      </c>
      <c r="AJ87" s="12" t="s">
        <v>6</v>
      </c>
      <c r="AK87" s="12" t="s">
        <v>1</v>
      </c>
      <c r="AL87" s="12" t="s">
        <v>4</v>
      </c>
      <c r="AM87" s="12" t="s">
        <v>13</v>
      </c>
      <c r="AO87" s="4" t="s">
        <v>22</v>
      </c>
      <c r="AP87" s="12" t="s">
        <v>0</v>
      </c>
      <c r="AQ87" s="12" t="s">
        <v>5</v>
      </c>
      <c r="AR87" s="12" t="s">
        <v>6</v>
      </c>
      <c r="AS87" s="12" t="s">
        <v>1</v>
      </c>
      <c r="AT87" s="12" t="s">
        <v>4</v>
      </c>
      <c r="AU87" s="12" t="s">
        <v>13</v>
      </c>
    </row>
    <row r="88" spans="1:47" ht="12.75">
      <c r="A88" s="4">
        <v>1983</v>
      </c>
      <c r="B88">
        <v>3</v>
      </c>
      <c r="D88">
        <v>1</v>
      </c>
      <c r="F88">
        <v>2</v>
      </c>
      <c r="G88">
        <f>SUM(B88:F88)</f>
        <v>6</v>
      </c>
      <c r="I88" s="4">
        <v>1983</v>
      </c>
      <c r="J88">
        <v>1</v>
      </c>
      <c r="K88">
        <v>1</v>
      </c>
      <c r="N88">
        <v>2</v>
      </c>
      <c r="O88">
        <f>SUM(J88:N88)</f>
        <v>4</v>
      </c>
      <c r="Q88" s="4">
        <v>1983</v>
      </c>
      <c r="W88">
        <f>SUM(R88:V88)</f>
        <v>0</v>
      </c>
      <c r="Y88" s="4">
        <v>1983</v>
      </c>
      <c r="AE88">
        <f>SUM(Z88:AD88)</f>
        <v>0</v>
      </c>
      <c r="AG88" s="4">
        <v>1983</v>
      </c>
      <c r="AH88">
        <v>1</v>
      </c>
      <c r="AI88">
        <v>1</v>
      </c>
      <c r="AK88">
        <v>1</v>
      </c>
      <c r="AM88">
        <f>SUM(AH88:AL88)</f>
        <v>3</v>
      </c>
      <c r="AO88" s="4">
        <v>1983</v>
      </c>
      <c r="AU88">
        <f>SUM(AP88:AT88)</f>
        <v>0</v>
      </c>
    </row>
    <row r="89" spans="1:47" ht="12.75">
      <c r="A89" s="4">
        <v>1984</v>
      </c>
      <c r="B89">
        <v>59</v>
      </c>
      <c r="C89">
        <v>94</v>
      </c>
      <c r="D89">
        <v>56</v>
      </c>
      <c r="E89">
        <v>8</v>
      </c>
      <c r="F89">
        <v>47</v>
      </c>
      <c r="G89">
        <f aca="true" t="shared" si="110" ref="G89:G104">SUM(B89:F89)</f>
        <v>264</v>
      </c>
      <c r="I89" s="4">
        <v>1984</v>
      </c>
      <c r="J89">
        <v>28</v>
      </c>
      <c r="K89">
        <v>61</v>
      </c>
      <c r="L89">
        <v>29</v>
      </c>
      <c r="M89">
        <v>4</v>
      </c>
      <c r="N89">
        <v>24</v>
      </c>
      <c r="O89">
        <f aca="true" t="shared" si="111" ref="O89:O104">SUM(J89:N89)</f>
        <v>146</v>
      </c>
      <c r="Q89" s="4">
        <v>1984</v>
      </c>
      <c r="R89">
        <v>5</v>
      </c>
      <c r="S89">
        <v>2</v>
      </c>
      <c r="V89">
        <v>3</v>
      </c>
      <c r="W89">
        <f aca="true" t="shared" si="112" ref="W89:W104">SUM(R89:V89)</f>
        <v>10</v>
      </c>
      <c r="Y89" s="4">
        <v>1984</v>
      </c>
      <c r="AC89">
        <v>1</v>
      </c>
      <c r="AE89">
        <f aca="true" t="shared" si="113" ref="AE89:AE104">SUM(Z89:AD89)</f>
        <v>1</v>
      </c>
      <c r="AG89" s="4">
        <v>1984</v>
      </c>
      <c r="AH89">
        <v>63</v>
      </c>
      <c r="AI89">
        <v>89</v>
      </c>
      <c r="AJ89">
        <v>34</v>
      </c>
      <c r="AK89">
        <v>6</v>
      </c>
      <c r="AL89">
        <v>37</v>
      </c>
      <c r="AM89">
        <f aca="true" t="shared" si="114" ref="AM89:AM104">SUM(AH89:AL89)</f>
        <v>229</v>
      </c>
      <c r="AO89" s="4">
        <v>1984</v>
      </c>
      <c r="AU89">
        <f aca="true" t="shared" si="115" ref="AU89:AU104">SUM(AP89:AT89)</f>
        <v>0</v>
      </c>
    </row>
    <row r="90" spans="1:47" ht="12.75">
      <c r="A90" s="4">
        <v>1985</v>
      </c>
      <c r="B90">
        <v>3</v>
      </c>
      <c r="C90">
        <v>1</v>
      </c>
      <c r="D90">
        <v>1</v>
      </c>
      <c r="E90">
        <v>1</v>
      </c>
      <c r="F90">
        <v>2</v>
      </c>
      <c r="G90">
        <f t="shared" si="110"/>
        <v>8</v>
      </c>
      <c r="I90" s="4">
        <v>1985</v>
      </c>
      <c r="K90">
        <v>1</v>
      </c>
      <c r="O90">
        <f t="shared" si="111"/>
        <v>1</v>
      </c>
      <c r="Q90" s="4">
        <v>1985</v>
      </c>
      <c r="V90">
        <v>1</v>
      </c>
      <c r="W90">
        <f t="shared" si="112"/>
        <v>1</v>
      </c>
      <c r="Y90" s="4">
        <v>1985</v>
      </c>
      <c r="AE90">
        <f t="shared" si="113"/>
        <v>0</v>
      </c>
      <c r="AG90" s="4">
        <v>1985</v>
      </c>
      <c r="AH90">
        <v>1</v>
      </c>
      <c r="AL90">
        <v>1</v>
      </c>
      <c r="AM90">
        <f t="shared" si="114"/>
        <v>2</v>
      </c>
      <c r="AO90" s="4">
        <v>1985</v>
      </c>
      <c r="AU90">
        <f t="shared" si="115"/>
        <v>0</v>
      </c>
    </row>
    <row r="91" spans="1:47" ht="12.75">
      <c r="A91" s="4">
        <v>1986</v>
      </c>
      <c r="B91">
        <v>4</v>
      </c>
      <c r="F91">
        <v>5</v>
      </c>
      <c r="G91">
        <f t="shared" si="110"/>
        <v>9</v>
      </c>
      <c r="I91" s="4">
        <v>1986</v>
      </c>
      <c r="J91">
        <v>2</v>
      </c>
      <c r="N91">
        <v>1</v>
      </c>
      <c r="O91">
        <f t="shared" si="111"/>
        <v>3</v>
      </c>
      <c r="Q91" s="4">
        <v>1986</v>
      </c>
      <c r="W91">
        <f t="shared" si="112"/>
        <v>0</v>
      </c>
      <c r="Y91" s="4">
        <v>1986</v>
      </c>
      <c r="AE91">
        <f t="shared" si="113"/>
        <v>0</v>
      </c>
      <c r="AG91" s="4">
        <v>1986</v>
      </c>
      <c r="AL91">
        <v>1</v>
      </c>
      <c r="AM91">
        <f t="shared" si="114"/>
        <v>1</v>
      </c>
      <c r="AO91" s="4">
        <v>1986</v>
      </c>
      <c r="AU91">
        <f t="shared" si="115"/>
        <v>0</v>
      </c>
    </row>
    <row r="92" spans="1:47" ht="12.75">
      <c r="A92" s="4">
        <v>1987</v>
      </c>
      <c r="F92">
        <v>5</v>
      </c>
      <c r="G92">
        <f t="shared" si="110"/>
        <v>5</v>
      </c>
      <c r="I92" s="4">
        <v>1987</v>
      </c>
      <c r="K92">
        <v>1</v>
      </c>
      <c r="N92">
        <v>1</v>
      </c>
      <c r="O92">
        <f t="shared" si="111"/>
        <v>2</v>
      </c>
      <c r="Q92" s="4">
        <v>1987</v>
      </c>
      <c r="W92">
        <f t="shared" si="112"/>
        <v>0</v>
      </c>
      <c r="Y92" s="4">
        <v>1987</v>
      </c>
      <c r="AE92">
        <f t="shared" si="113"/>
        <v>0</v>
      </c>
      <c r="AG92" s="4">
        <v>1987</v>
      </c>
      <c r="AL92">
        <v>1</v>
      </c>
      <c r="AM92">
        <f t="shared" si="114"/>
        <v>1</v>
      </c>
      <c r="AO92" s="4">
        <v>1987</v>
      </c>
      <c r="AU92">
        <f t="shared" si="115"/>
        <v>0</v>
      </c>
    </row>
    <row r="93" spans="1:47" ht="12.75">
      <c r="A93" s="4">
        <v>1988</v>
      </c>
      <c r="B93">
        <v>4</v>
      </c>
      <c r="C93">
        <v>10</v>
      </c>
      <c r="D93">
        <v>5</v>
      </c>
      <c r="E93">
        <v>3</v>
      </c>
      <c r="F93">
        <v>9</v>
      </c>
      <c r="G93">
        <f t="shared" si="110"/>
        <v>31</v>
      </c>
      <c r="I93" s="4">
        <v>1988</v>
      </c>
      <c r="J93">
        <v>2</v>
      </c>
      <c r="K93">
        <v>11</v>
      </c>
      <c r="L93">
        <v>4</v>
      </c>
      <c r="N93">
        <v>3</v>
      </c>
      <c r="O93">
        <f t="shared" si="111"/>
        <v>20</v>
      </c>
      <c r="Q93" s="4">
        <v>1988</v>
      </c>
      <c r="S93">
        <v>1</v>
      </c>
      <c r="T93">
        <v>1</v>
      </c>
      <c r="W93">
        <f t="shared" si="112"/>
        <v>2</v>
      </c>
      <c r="Y93" s="4">
        <v>1988</v>
      </c>
      <c r="AE93">
        <f t="shared" si="113"/>
        <v>0</v>
      </c>
      <c r="AG93" s="4">
        <v>1988</v>
      </c>
      <c r="AH93">
        <v>1</v>
      </c>
      <c r="AI93">
        <v>6</v>
      </c>
      <c r="AJ93">
        <v>2</v>
      </c>
      <c r="AK93">
        <v>2</v>
      </c>
      <c r="AL93">
        <v>4</v>
      </c>
      <c r="AM93">
        <f t="shared" si="114"/>
        <v>15</v>
      </c>
      <c r="AO93" s="4">
        <v>1988</v>
      </c>
      <c r="AU93">
        <f t="shared" si="115"/>
        <v>0</v>
      </c>
    </row>
    <row r="94" spans="1:47" ht="12.75">
      <c r="A94" s="4">
        <v>1989</v>
      </c>
      <c r="B94">
        <v>7</v>
      </c>
      <c r="C94">
        <v>23</v>
      </c>
      <c r="D94">
        <v>12</v>
      </c>
      <c r="E94">
        <v>7</v>
      </c>
      <c r="F94">
        <v>12</v>
      </c>
      <c r="G94">
        <f t="shared" si="110"/>
        <v>61</v>
      </c>
      <c r="I94" s="4">
        <v>1989</v>
      </c>
      <c r="J94">
        <v>4</v>
      </c>
      <c r="K94">
        <v>5</v>
      </c>
      <c r="L94">
        <v>6</v>
      </c>
      <c r="M94">
        <v>2</v>
      </c>
      <c r="N94">
        <v>8</v>
      </c>
      <c r="O94">
        <f t="shared" si="111"/>
        <v>25</v>
      </c>
      <c r="Q94" s="4">
        <v>1989</v>
      </c>
      <c r="W94">
        <f t="shared" si="112"/>
        <v>0</v>
      </c>
      <c r="Y94" s="4">
        <v>1989</v>
      </c>
      <c r="AE94">
        <f t="shared" si="113"/>
        <v>0</v>
      </c>
      <c r="AG94" s="4">
        <v>1989</v>
      </c>
      <c r="AH94">
        <v>7</v>
      </c>
      <c r="AI94">
        <v>22</v>
      </c>
      <c r="AJ94">
        <v>8</v>
      </c>
      <c r="AL94">
        <v>10</v>
      </c>
      <c r="AM94">
        <f t="shared" si="114"/>
        <v>47</v>
      </c>
      <c r="AO94" s="4">
        <v>1989</v>
      </c>
      <c r="AU94">
        <f t="shared" si="115"/>
        <v>0</v>
      </c>
    </row>
    <row r="95" spans="1:47" ht="12.75">
      <c r="A95" s="4">
        <v>1990</v>
      </c>
      <c r="B95">
        <v>14</v>
      </c>
      <c r="C95">
        <v>28</v>
      </c>
      <c r="D95">
        <v>26</v>
      </c>
      <c r="E95">
        <v>6</v>
      </c>
      <c r="F95">
        <v>33</v>
      </c>
      <c r="G95">
        <f t="shared" si="110"/>
        <v>107</v>
      </c>
      <c r="I95" s="4">
        <v>1990</v>
      </c>
      <c r="J95">
        <v>10</v>
      </c>
      <c r="K95">
        <v>19</v>
      </c>
      <c r="L95">
        <v>15</v>
      </c>
      <c r="M95">
        <v>6</v>
      </c>
      <c r="N95">
        <v>13</v>
      </c>
      <c r="O95">
        <f t="shared" si="111"/>
        <v>63</v>
      </c>
      <c r="Q95" s="4">
        <v>1990</v>
      </c>
      <c r="T95">
        <v>1</v>
      </c>
      <c r="U95">
        <v>1</v>
      </c>
      <c r="W95">
        <f t="shared" si="112"/>
        <v>2</v>
      </c>
      <c r="Y95" s="4">
        <v>1990</v>
      </c>
      <c r="AE95">
        <f t="shared" si="113"/>
        <v>0</v>
      </c>
      <c r="AG95" s="4">
        <v>1990</v>
      </c>
      <c r="AH95">
        <v>9</v>
      </c>
      <c r="AI95">
        <v>16</v>
      </c>
      <c r="AJ95">
        <v>10</v>
      </c>
      <c r="AK95">
        <v>5</v>
      </c>
      <c r="AL95">
        <v>21</v>
      </c>
      <c r="AM95">
        <f t="shared" si="114"/>
        <v>61</v>
      </c>
      <c r="AO95" s="4">
        <v>1990</v>
      </c>
      <c r="AU95">
        <f t="shared" si="115"/>
        <v>0</v>
      </c>
    </row>
    <row r="96" spans="1:47" ht="12.75">
      <c r="A96" s="4">
        <v>1991</v>
      </c>
      <c r="B96">
        <v>14</v>
      </c>
      <c r="C96">
        <v>15</v>
      </c>
      <c r="D96">
        <v>24</v>
      </c>
      <c r="E96">
        <v>7</v>
      </c>
      <c r="F96">
        <v>19</v>
      </c>
      <c r="G96">
        <f t="shared" si="110"/>
        <v>79</v>
      </c>
      <c r="I96" s="4">
        <v>1991</v>
      </c>
      <c r="J96">
        <v>4</v>
      </c>
      <c r="K96">
        <v>21</v>
      </c>
      <c r="L96">
        <v>13</v>
      </c>
      <c r="M96">
        <v>8</v>
      </c>
      <c r="N96">
        <v>9</v>
      </c>
      <c r="O96">
        <f t="shared" si="111"/>
        <v>55</v>
      </c>
      <c r="Q96" s="4">
        <v>1991</v>
      </c>
      <c r="R96">
        <v>1</v>
      </c>
      <c r="T96">
        <v>1</v>
      </c>
      <c r="V96">
        <v>1</v>
      </c>
      <c r="W96">
        <f t="shared" si="112"/>
        <v>3</v>
      </c>
      <c r="Y96" s="4">
        <v>1991</v>
      </c>
      <c r="AA96">
        <v>1</v>
      </c>
      <c r="AE96">
        <f t="shared" si="113"/>
        <v>1</v>
      </c>
      <c r="AG96" s="4">
        <v>1991</v>
      </c>
      <c r="AH96">
        <v>10</v>
      </c>
      <c r="AI96">
        <v>16</v>
      </c>
      <c r="AJ96">
        <v>6</v>
      </c>
      <c r="AK96">
        <v>1</v>
      </c>
      <c r="AL96">
        <v>17</v>
      </c>
      <c r="AM96">
        <f t="shared" si="114"/>
        <v>50</v>
      </c>
      <c r="AO96" s="4">
        <v>1991</v>
      </c>
      <c r="AU96">
        <f t="shared" si="115"/>
        <v>0</v>
      </c>
    </row>
    <row r="97" spans="1:47" ht="12.75">
      <c r="A97" s="4">
        <v>1992</v>
      </c>
      <c r="B97">
        <v>2</v>
      </c>
      <c r="C97">
        <v>2</v>
      </c>
      <c r="D97">
        <v>2</v>
      </c>
      <c r="E97">
        <v>3</v>
      </c>
      <c r="F97">
        <v>16</v>
      </c>
      <c r="G97">
        <f t="shared" si="110"/>
        <v>25</v>
      </c>
      <c r="I97" s="4">
        <v>1992</v>
      </c>
      <c r="M97">
        <v>2</v>
      </c>
      <c r="N97">
        <v>7</v>
      </c>
      <c r="O97">
        <f t="shared" si="111"/>
        <v>9</v>
      </c>
      <c r="Q97" s="4">
        <v>1992</v>
      </c>
      <c r="W97">
        <f t="shared" si="112"/>
        <v>0</v>
      </c>
      <c r="Y97" s="4">
        <v>1992</v>
      </c>
      <c r="AE97">
        <f t="shared" si="113"/>
        <v>0</v>
      </c>
      <c r="AG97" s="4">
        <v>1992</v>
      </c>
      <c r="AH97">
        <v>1</v>
      </c>
      <c r="AI97">
        <v>1</v>
      </c>
      <c r="AJ97">
        <v>3</v>
      </c>
      <c r="AL97">
        <v>6</v>
      </c>
      <c r="AM97">
        <f t="shared" si="114"/>
        <v>11</v>
      </c>
      <c r="AO97" s="4">
        <v>1992</v>
      </c>
      <c r="AU97">
        <f t="shared" si="115"/>
        <v>0</v>
      </c>
    </row>
    <row r="98" spans="1:47" ht="12.75">
      <c r="A98" s="4">
        <v>1993</v>
      </c>
      <c r="B98">
        <v>5</v>
      </c>
      <c r="C98">
        <v>8</v>
      </c>
      <c r="D98">
        <v>9</v>
      </c>
      <c r="E98">
        <v>6</v>
      </c>
      <c r="F98">
        <v>26</v>
      </c>
      <c r="G98">
        <f t="shared" si="110"/>
        <v>54</v>
      </c>
      <c r="I98" s="4">
        <v>1993</v>
      </c>
      <c r="J98">
        <v>3</v>
      </c>
      <c r="K98">
        <v>3</v>
      </c>
      <c r="L98">
        <v>2</v>
      </c>
      <c r="M98">
        <v>5</v>
      </c>
      <c r="N98">
        <v>14</v>
      </c>
      <c r="O98">
        <f t="shared" si="111"/>
        <v>27</v>
      </c>
      <c r="Q98" s="4">
        <v>1993</v>
      </c>
      <c r="U98">
        <v>1</v>
      </c>
      <c r="V98">
        <v>1</v>
      </c>
      <c r="W98">
        <f t="shared" si="112"/>
        <v>2</v>
      </c>
      <c r="Y98" s="4">
        <v>1993</v>
      </c>
      <c r="AE98">
        <f t="shared" si="113"/>
        <v>0</v>
      </c>
      <c r="AG98" s="4">
        <v>1993</v>
      </c>
      <c r="AH98">
        <v>2</v>
      </c>
      <c r="AI98">
        <v>3</v>
      </c>
      <c r="AJ98">
        <v>1</v>
      </c>
      <c r="AK98">
        <v>2</v>
      </c>
      <c r="AL98">
        <v>13</v>
      </c>
      <c r="AM98">
        <f t="shared" si="114"/>
        <v>21</v>
      </c>
      <c r="AO98" s="4">
        <v>1993</v>
      </c>
      <c r="AU98">
        <f t="shared" si="115"/>
        <v>0</v>
      </c>
    </row>
    <row r="99" spans="1:47" ht="12.75">
      <c r="A99" s="4">
        <v>1994</v>
      </c>
      <c r="B99">
        <v>8</v>
      </c>
      <c r="C99">
        <v>5</v>
      </c>
      <c r="D99">
        <v>7</v>
      </c>
      <c r="E99">
        <v>2</v>
      </c>
      <c r="F99">
        <v>25</v>
      </c>
      <c r="G99">
        <f t="shared" si="110"/>
        <v>47</v>
      </c>
      <c r="I99" s="4">
        <v>1994</v>
      </c>
      <c r="J99">
        <v>1</v>
      </c>
      <c r="K99">
        <v>2</v>
      </c>
      <c r="L99">
        <v>3</v>
      </c>
      <c r="M99">
        <v>8</v>
      </c>
      <c r="N99">
        <v>12</v>
      </c>
      <c r="O99">
        <f t="shared" si="111"/>
        <v>26</v>
      </c>
      <c r="Q99" s="4">
        <v>1994</v>
      </c>
      <c r="V99">
        <v>1</v>
      </c>
      <c r="W99">
        <f t="shared" si="112"/>
        <v>1</v>
      </c>
      <c r="Y99" s="4">
        <v>1994</v>
      </c>
      <c r="AB99">
        <v>1</v>
      </c>
      <c r="AE99">
        <f t="shared" si="113"/>
        <v>1</v>
      </c>
      <c r="AG99" s="4">
        <v>1994</v>
      </c>
      <c r="AH99">
        <v>3</v>
      </c>
      <c r="AI99">
        <v>4</v>
      </c>
      <c r="AJ99">
        <v>2</v>
      </c>
      <c r="AK99">
        <v>2</v>
      </c>
      <c r="AL99">
        <v>13</v>
      </c>
      <c r="AM99">
        <f t="shared" si="114"/>
        <v>24</v>
      </c>
      <c r="AO99" s="4">
        <v>1994</v>
      </c>
      <c r="AU99">
        <f t="shared" si="115"/>
        <v>0</v>
      </c>
    </row>
    <row r="100" spans="1:47" ht="12.75">
      <c r="A100" s="4">
        <v>1995</v>
      </c>
      <c r="B100">
        <v>7</v>
      </c>
      <c r="C100">
        <v>10</v>
      </c>
      <c r="D100">
        <v>4</v>
      </c>
      <c r="E100">
        <v>6</v>
      </c>
      <c r="F100">
        <v>24</v>
      </c>
      <c r="G100">
        <f t="shared" si="110"/>
        <v>51</v>
      </c>
      <c r="I100" s="4">
        <v>1995</v>
      </c>
      <c r="J100">
        <v>5</v>
      </c>
      <c r="K100">
        <v>4</v>
      </c>
      <c r="L100">
        <v>2</v>
      </c>
      <c r="M100">
        <v>8</v>
      </c>
      <c r="N100">
        <v>8</v>
      </c>
      <c r="O100">
        <f t="shared" si="111"/>
        <v>27</v>
      </c>
      <c r="Q100" s="4">
        <v>1995</v>
      </c>
      <c r="S100">
        <v>1</v>
      </c>
      <c r="V100">
        <v>3</v>
      </c>
      <c r="W100">
        <f t="shared" si="112"/>
        <v>4</v>
      </c>
      <c r="Y100" s="4">
        <v>1995</v>
      </c>
      <c r="AA100">
        <v>1</v>
      </c>
      <c r="AE100">
        <f t="shared" si="113"/>
        <v>1</v>
      </c>
      <c r="AG100" s="4">
        <v>1995</v>
      </c>
      <c r="AH100">
        <v>5</v>
      </c>
      <c r="AI100">
        <v>4</v>
      </c>
      <c r="AJ100">
        <v>2</v>
      </c>
      <c r="AK100">
        <v>6</v>
      </c>
      <c r="AL100">
        <v>17</v>
      </c>
      <c r="AM100">
        <f t="shared" si="114"/>
        <v>34</v>
      </c>
      <c r="AO100" s="4">
        <v>1995</v>
      </c>
      <c r="AU100">
        <f t="shared" si="115"/>
        <v>0</v>
      </c>
    </row>
    <row r="101" spans="1:47" ht="12.75">
      <c r="A101" s="4">
        <v>1996</v>
      </c>
      <c r="B101">
        <v>9</v>
      </c>
      <c r="C101">
        <v>13</v>
      </c>
      <c r="D101">
        <v>6</v>
      </c>
      <c r="E101">
        <v>7</v>
      </c>
      <c r="F101">
        <v>10</v>
      </c>
      <c r="G101">
        <f t="shared" si="110"/>
        <v>45</v>
      </c>
      <c r="I101" s="4">
        <v>1996</v>
      </c>
      <c r="J101">
        <v>2</v>
      </c>
      <c r="K101">
        <v>7</v>
      </c>
      <c r="L101">
        <v>3</v>
      </c>
      <c r="M101">
        <v>9</v>
      </c>
      <c r="N101">
        <v>7</v>
      </c>
      <c r="O101">
        <f t="shared" si="111"/>
        <v>28</v>
      </c>
      <c r="Q101" s="4">
        <v>1996</v>
      </c>
      <c r="R101">
        <v>1</v>
      </c>
      <c r="S101">
        <v>1</v>
      </c>
      <c r="W101">
        <f t="shared" si="112"/>
        <v>2</v>
      </c>
      <c r="Y101" s="4">
        <v>1996</v>
      </c>
      <c r="AE101">
        <f t="shared" si="113"/>
        <v>0</v>
      </c>
      <c r="AG101" s="4">
        <v>1996</v>
      </c>
      <c r="AH101">
        <v>10</v>
      </c>
      <c r="AI101">
        <v>6</v>
      </c>
      <c r="AJ101">
        <v>4</v>
      </c>
      <c r="AK101">
        <v>11</v>
      </c>
      <c r="AL101">
        <v>10</v>
      </c>
      <c r="AM101">
        <f t="shared" si="114"/>
        <v>41</v>
      </c>
      <c r="AO101" s="4">
        <v>1996</v>
      </c>
      <c r="AU101">
        <f t="shared" si="115"/>
        <v>0</v>
      </c>
    </row>
    <row r="102" spans="1:47" ht="12.75">
      <c r="A102" s="4">
        <v>1997</v>
      </c>
      <c r="B102">
        <v>6</v>
      </c>
      <c r="C102">
        <v>8</v>
      </c>
      <c r="D102">
        <v>12</v>
      </c>
      <c r="E102">
        <v>7</v>
      </c>
      <c r="F102">
        <v>9</v>
      </c>
      <c r="G102">
        <f t="shared" si="110"/>
        <v>42</v>
      </c>
      <c r="I102" s="4">
        <v>1997</v>
      </c>
      <c r="J102">
        <v>5</v>
      </c>
      <c r="K102">
        <v>4</v>
      </c>
      <c r="L102">
        <v>1</v>
      </c>
      <c r="M102">
        <v>18</v>
      </c>
      <c r="N102">
        <v>7</v>
      </c>
      <c r="O102">
        <f t="shared" si="111"/>
        <v>35</v>
      </c>
      <c r="Q102" s="4">
        <v>1997</v>
      </c>
      <c r="R102">
        <v>1</v>
      </c>
      <c r="U102">
        <v>2</v>
      </c>
      <c r="W102">
        <f t="shared" si="112"/>
        <v>3</v>
      </c>
      <c r="Y102" s="4">
        <v>1997</v>
      </c>
      <c r="AE102">
        <f t="shared" si="113"/>
        <v>0</v>
      </c>
      <c r="AG102" s="4">
        <v>1997</v>
      </c>
      <c r="AH102">
        <v>4</v>
      </c>
      <c r="AI102">
        <v>8</v>
      </c>
      <c r="AJ102">
        <v>2</v>
      </c>
      <c r="AK102">
        <v>6</v>
      </c>
      <c r="AL102">
        <v>5</v>
      </c>
      <c r="AM102">
        <f t="shared" si="114"/>
        <v>25</v>
      </c>
      <c r="AO102" s="4">
        <v>1997</v>
      </c>
      <c r="AU102">
        <f t="shared" si="115"/>
        <v>0</v>
      </c>
    </row>
    <row r="103" spans="1:47" ht="12.75">
      <c r="A103" s="4">
        <v>1998</v>
      </c>
      <c r="B103">
        <v>13</v>
      </c>
      <c r="C103">
        <v>15</v>
      </c>
      <c r="D103">
        <v>6</v>
      </c>
      <c r="E103">
        <v>5</v>
      </c>
      <c r="F103">
        <v>10</v>
      </c>
      <c r="G103">
        <f t="shared" si="110"/>
        <v>49</v>
      </c>
      <c r="I103" s="4">
        <v>1998</v>
      </c>
      <c r="J103">
        <v>7</v>
      </c>
      <c r="K103">
        <v>2</v>
      </c>
      <c r="L103">
        <v>1</v>
      </c>
      <c r="M103">
        <v>6</v>
      </c>
      <c r="N103">
        <v>1</v>
      </c>
      <c r="O103">
        <f t="shared" si="111"/>
        <v>17</v>
      </c>
      <c r="Q103" s="4">
        <v>1998</v>
      </c>
      <c r="W103">
        <f t="shared" si="112"/>
        <v>0</v>
      </c>
      <c r="Y103" s="4">
        <v>1998</v>
      </c>
      <c r="AE103">
        <f t="shared" si="113"/>
        <v>0</v>
      </c>
      <c r="AG103" s="4">
        <v>1998</v>
      </c>
      <c r="AH103">
        <v>9</v>
      </c>
      <c r="AI103">
        <v>2</v>
      </c>
      <c r="AJ103">
        <v>3</v>
      </c>
      <c r="AK103">
        <v>11</v>
      </c>
      <c r="AL103">
        <v>10</v>
      </c>
      <c r="AM103">
        <f t="shared" si="114"/>
        <v>35</v>
      </c>
      <c r="AO103" s="4">
        <v>1998</v>
      </c>
      <c r="AU103">
        <f t="shared" si="115"/>
        <v>0</v>
      </c>
    </row>
    <row r="104" spans="1:47" ht="12.75">
      <c r="A104" s="4">
        <v>1999</v>
      </c>
      <c r="B104">
        <v>19</v>
      </c>
      <c r="C104">
        <v>4</v>
      </c>
      <c r="D104">
        <v>7</v>
      </c>
      <c r="E104">
        <v>5</v>
      </c>
      <c r="F104">
        <v>11</v>
      </c>
      <c r="G104">
        <f t="shared" si="110"/>
        <v>46</v>
      </c>
      <c r="I104" s="4">
        <v>1999</v>
      </c>
      <c r="J104">
        <v>4</v>
      </c>
      <c r="K104">
        <v>2</v>
      </c>
      <c r="L104">
        <v>3</v>
      </c>
      <c r="M104">
        <v>8</v>
      </c>
      <c r="N104">
        <v>2</v>
      </c>
      <c r="O104">
        <f t="shared" si="111"/>
        <v>19</v>
      </c>
      <c r="Q104" s="4">
        <v>1999</v>
      </c>
      <c r="R104">
        <v>2</v>
      </c>
      <c r="U104">
        <v>2</v>
      </c>
      <c r="V104">
        <v>2</v>
      </c>
      <c r="W104">
        <f t="shared" si="112"/>
        <v>6</v>
      </c>
      <c r="Y104" s="4">
        <v>1999</v>
      </c>
      <c r="AE104">
        <f t="shared" si="113"/>
        <v>0</v>
      </c>
      <c r="AG104" s="4">
        <v>1999</v>
      </c>
      <c r="AH104">
        <v>14</v>
      </c>
      <c r="AI104">
        <v>8</v>
      </c>
      <c r="AJ104">
        <v>3</v>
      </c>
      <c r="AK104">
        <v>1</v>
      </c>
      <c r="AL104">
        <v>14</v>
      </c>
      <c r="AM104">
        <f t="shared" si="114"/>
        <v>40</v>
      </c>
      <c r="AO104" s="4">
        <v>1999</v>
      </c>
      <c r="AU104">
        <f t="shared" si="115"/>
        <v>0</v>
      </c>
    </row>
    <row r="105" spans="1:41" ht="12.75">
      <c r="A105" s="4" t="s">
        <v>13</v>
      </c>
      <c r="B105" s="2">
        <f>SUM(B88:B104)</f>
        <v>177</v>
      </c>
      <c r="C105" s="2">
        <f>SUM(C88:C104)</f>
        <v>236</v>
      </c>
      <c r="D105" s="2">
        <f>SUM(D88:D104)</f>
        <v>178</v>
      </c>
      <c r="E105" s="2">
        <f>SUM(E88:E104)</f>
        <v>73</v>
      </c>
      <c r="F105" s="2">
        <f>SUM(F88:F104)</f>
        <v>265</v>
      </c>
      <c r="G105" s="2">
        <f>SUM(G88:G104)</f>
        <v>929</v>
      </c>
      <c r="I105" s="4" t="s">
        <v>13</v>
      </c>
      <c r="J105" s="2">
        <f>SUM(J88:J104)</f>
        <v>78</v>
      </c>
      <c r="K105" s="2">
        <f>SUM(K88:K104)</f>
        <v>144</v>
      </c>
      <c r="L105" s="2">
        <f>SUM(L88:L104)</f>
        <v>82</v>
      </c>
      <c r="M105" s="2">
        <f>SUM(M88:M104)</f>
        <v>84</v>
      </c>
      <c r="N105" s="2">
        <f>SUM(N88:N104)</f>
        <v>119</v>
      </c>
      <c r="O105" s="2">
        <f>SUM(O88:O104)</f>
        <v>507</v>
      </c>
      <c r="Q105" s="4" t="s">
        <v>13</v>
      </c>
      <c r="R105" s="2">
        <f>SUM(R88:R104)</f>
        <v>10</v>
      </c>
      <c r="S105" s="2">
        <f>SUM(S88:S104)</f>
        <v>5</v>
      </c>
      <c r="T105" s="2">
        <f>SUM(T88:T104)</f>
        <v>3</v>
      </c>
      <c r="U105" s="2">
        <f>SUM(U88:U104)</f>
        <v>6</v>
      </c>
      <c r="V105" s="2">
        <f>SUM(V88:V104)</f>
        <v>12</v>
      </c>
      <c r="W105" s="2">
        <f>SUM(W88:W104)</f>
        <v>36</v>
      </c>
      <c r="Y105" s="4" t="s">
        <v>13</v>
      </c>
      <c r="Z105" s="2">
        <f>SUM(Z88:Z104)</f>
        <v>0</v>
      </c>
      <c r="AA105" s="2">
        <f>SUM(AA88:AA104)</f>
        <v>2</v>
      </c>
      <c r="AB105" s="2">
        <f>SUM(AB88:AB104)</f>
        <v>1</v>
      </c>
      <c r="AC105" s="2">
        <f>SUM(AC88:AC104)</f>
        <v>1</v>
      </c>
      <c r="AD105" s="2">
        <f>SUM(AD88:AD104)</f>
        <v>0</v>
      </c>
      <c r="AE105" s="2">
        <f>SUM(AE88:AE104)</f>
        <v>4</v>
      </c>
      <c r="AG105" s="4" t="s">
        <v>13</v>
      </c>
      <c r="AH105" s="2">
        <f>SUM(AH88:AH104)</f>
        <v>140</v>
      </c>
      <c r="AI105" s="2">
        <f>SUM(AI88:AI104)</f>
        <v>186</v>
      </c>
      <c r="AJ105" s="2">
        <f>SUM(AJ88:AJ104)</f>
        <v>80</v>
      </c>
      <c r="AK105" s="2">
        <f>SUM(AK88:AK104)</f>
        <v>54</v>
      </c>
      <c r="AL105" s="2">
        <f>SUM(AL88:AL104)</f>
        <v>180</v>
      </c>
      <c r="AM105" s="2">
        <f>SUM(AM88:AM104)</f>
        <v>640</v>
      </c>
      <c r="AO105" s="4" t="s">
        <v>13</v>
      </c>
    </row>
    <row r="106" spans="9:33" ht="12.75">
      <c r="I106" s="4"/>
      <c r="Q106" s="4"/>
      <c r="AG106" s="4"/>
    </row>
    <row r="107" spans="1:41" ht="12.75">
      <c r="A107" s="4" t="s">
        <v>11</v>
      </c>
      <c r="I107" s="4" t="s">
        <v>12</v>
      </c>
      <c r="Q107" s="4" t="s">
        <v>28</v>
      </c>
      <c r="Y107" s="4" t="s">
        <v>29</v>
      </c>
      <c r="AG107" s="4" t="s">
        <v>26</v>
      </c>
      <c r="AO107" s="4" t="s">
        <v>27</v>
      </c>
    </row>
    <row r="108" spans="1:47" ht="12.75">
      <c r="A108" s="4" t="s">
        <v>8</v>
      </c>
      <c r="B108" s="12" t="s">
        <v>0</v>
      </c>
      <c r="C108" s="12" t="s">
        <v>5</v>
      </c>
      <c r="D108" s="12" t="s">
        <v>6</v>
      </c>
      <c r="E108" s="12" t="s">
        <v>1</v>
      </c>
      <c r="F108" s="12" t="s">
        <v>4</v>
      </c>
      <c r="G108" s="12" t="s">
        <v>13</v>
      </c>
      <c r="I108" s="4" t="s">
        <v>8</v>
      </c>
      <c r="J108" s="12" t="s">
        <v>0</v>
      </c>
      <c r="K108" s="12" t="s">
        <v>5</v>
      </c>
      <c r="L108" s="12" t="s">
        <v>6</v>
      </c>
      <c r="M108" s="12" t="s">
        <v>1</v>
      </c>
      <c r="N108" s="12" t="s">
        <v>4</v>
      </c>
      <c r="O108" s="12" t="s">
        <v>13</v>
      </c>
      <c r="Q108" s="4" t="s">
        <v>8</v>
      </c>
      <c r="R108" s="12" t="s">
        <v>0</v>
      </c>
      <c r="S108" s="12" t="s">
        <v>5</v>
      </c>
      <c r="T108" s="12" t="s">
        <v>6</v>
      </c>
      <c r="U108" s="12" t="s">
        <v>1</v>
      </c>
      <c r="V108" s="12" t="s">
        <v>4</v>
      </c>
      <c r="W108" s="12" t="s">
        <v>13</v>
      </c>
      <c r="Y108" s="4" t="s">
        <v>8</v>
      </c>
      <c r="Z108" s="12" t="s">
        <v>0</v>
      </c>
      <c r="AA108" s="12" t="s">
        <v>5</v>
      </c>
      <c r="AB108" s="12" t="s">
        <v>6</v>
      </c>
      <c r="AC108" s="12" t="s">
        <v>1</v>
      </c>
      <c r="AD108" s="12" t="s">
        <v>4</v>
      </c>
      <c r="AE108" s="12" t="s">
        <v>13</v>
      </c>
      <c r="AG108" s="4" t="s">
        <v>8</v>
      </c>
      <c r="AH108" s="12" t="s">
        <v>0</v>
      </c>
      <c r="AI108" s="12" t="s">
        <v>5</v>
      </c>
      <c r="AJ108" s="12" t="s">
        <v>6</v>
      </c>
      <c r="AK108" s="12" t="s">
        <v>1</v>
      </c>
      <c r="AL108" s="12" t="s">
        <v>4</v>
      </c>
      <c r="AM108" s="12" t="s">
        <v>13</v>
      </c>
      <c r="AO108" s="4" t="s">
        <v>8</v>
      </c>
      <c r="AP108" s="12" t="s">
        <v>0</v>
      </c>
      <c r="AQ108" s="12" t="s">
        <v>5</v>
      </c>
      <c r="AR108" s="12" t="s">
        <v>6</v>
      </c>
      <c r="AS108" s="12" t="s">
        <v>1</v>
      </c>
      <c r="AT108" s="12" t="s">
        <v>4</v>
      </c>
      <c r="AU108" s="12" t="s">
        <v>13</v>
      </c>
    </row>
    <row r="109" spans="1:47" ht="12.75">
      <c r="A109" s="4">
        <v>1983</v>
      </c>
      <c r="B109">
        <f aca="true" t="shared" si="116" ref="B109:G118">B88+B46+B25</f>
        <v>43</v>
      </c>
      <c r="C109">
        <f t="shared" si="116"/>
        <v>62</v>
      </c>
      <c r="D109">
        <f t="shared" si="116"/>
        <v>27</v>
      </c>
      <c r="E109">
        <f t="shared" si="116"/>
        <v>3</v>
      </c>
      <c r="F109">
        <f t="shared" si="116"/>
        <v>20</v>
      </c>
      <c r="G109">
        <f t="shared" si="116"/>
        <v>155</v>
      </c>
      <c r="I109" s="4">
        <v>1983</v>
      </c>
      <c r="J109">
        <f aca="true" t="shared" si="117" ref="J109:O118">J88+J46+J25</f>
        <v>33</v>
      </c>
      <c r="K109">
        <f t="shared" si="117"/>
        <v>27</v>
      </c>
      <c r="L109">
        <f t="shared" si="117"/>
        <v>7</v>
      </c>
      <c r="M109">
        <f t="shared" si="117"/>
        <v>1</v>
      </c>
      <c r="N109">
        <f t="shared" si="117"/>
        <v>8</v>
      </c>
      <c r="O109">
        <f t="shared" si="117"/>
        <v>76</v>
      </c>
      <c r="Q109" s="4">
        <v>1983</v>
      </c>
      <c r="R109">
        <f aca="true" t="shared" si="118" ref="R109:W118">R88+R46+R25</f>
        <v>2</v>
      </c>
      <c r="S109">
        <f t="shared" si="118"/>
        <v>2</v>
      </c>
      <c r="T109">
        <f t="shared" si="118"/>
        <v>0</v>
      </c>
      <c r="U109">
        <f t="shared" si="118"/>
        <v>0</v>
      </c>
      <c r="V109">
        <f t="shared" si="118"/>
        <v>0</v>
      </c>
      <c r="W109">
        <f t="shared" si="118"/>
        <v>4</v>
      </c>
      <c r="Y109" s="4">
        <v>1983</v>
      </c>
      <c r="Z109">
        <f aca="true" t="shared" si="119" ref="Z109:AE118">Z88+Z46+Z25</f>
        <v>0</v>
      </c>
      <c r="AA109">
        <f t="shared" si="119"/>
        <v>0</v>
      </c>
      <c r="AB109">
        <f t="shared" si="119"/>
        <v>0</v>
      </c>
      <c r="AC109">
        <f t="shared" si="119"/>
        <v>0</v>
      </c>
      <c r="AD109">
        <f t="shared" si="119"/>
        <v>0</v>
      </c>
      <c r="AE109">
        <f t="shared" si="119"/>
        <v>0</v>
      </c>
      <c r="AG109" s="4">
        <v>1983</v>
      </c>
      <c r="AH109">
        <f aca="true" t="shared" si="120" ref="AH109:AM118">AH88+AH46+AH25</f>
        <v>37</v>
      </c>
      <c r="AI109">
        <f t="shared" si="120"/>
        <v>33</v>
      </c>
      <c r="AJ109">
        <f t="shared" si="120"/>
        <v>7</v>
      </c>
      <c r="AK109">
        <f t="shared" si="120"/>
        <v>3</v>
      </c>
      <c r="AL109">
        <f t="shared" si="120"/>
        <v>6</v>
      </c>
      <c r="AM109">
        <f t="shared" si="120"/>
        <v>86</v>
      </c>
      <c r="AO109" s="4">
        <v>1983</v>
      </c>
      <c r="AP109">
        <f aca="true" t="shared" si="121" ref="AP109:AU118">AP88+AP46+AP25</f>
        <v>0</v>
      </c>
      <c r="AQ109">
        <f t="shared" si="121"/>
        <v>0</v>
      </c>
      <c r="AR109">
        <f t="shared" si="121"/>
        <v>0</v>
      </c>
      <c r="AS109">
        <f t="shared" si="121"/>
        <v>0</v>
      </c>
      <c r="AT109">
        <f t="shared" si="121"/>
        <v>0</v>
      </c>
      <c r="AU109">
        <f t="shared" si="121"/>
        <v>0</v>
      </c>
    </row>
    <row r="110" spans="1:47" ht="12.75">
      <c r="A110" s="4">
        <v>1984</v>
      </c>
      <c r="B110">
        <f t="shared" si="116"/>
        <v>59</v>
      </c>
      <c r="C110">
        <f t="shared" si="116"/>
        <v>94</v>
      </c>
      <c r="D110">
        <f t="shared" si="116"/>
        <v>56</v>
      </c>
      <c r="E110">
        <f t="shared" si="116"/>
        <v>8</v>
      </c>
      <c r="F110">
        <f t="shared" si="116"/>
        <v>47</v>
      </c>
      <c r="G110">
        <f t="shared" si="116"/>
        <v>264</v>
      </c>
      <c r="I110" s="4">
        <v>1984</v>
      </c>
      <c r="J110">
        <f t="shared" si="117"/>
        <v>28</v>
      </c>
      <c r="K110">
        <f t="shared" si="117"/>
        <v>61</v>
      </c>
      <c r="L110">
        <f t="shared" si="117"/>
        <v>29</v>
      </c>
      <c r="M110">
        <f t="shared" si="117"/>
        <v>4</v>
      </c>
      <c r="N110">
        <f t="shared" si="117"/>
        <v>24</v>
      </c>
      <c r="O110">
        <f t="shared" si="117"/>
        <v>146</v>
      </c>
      <c r="Q110" s="4">
        <v>1984</v>
      </c>
      <c r="R110">
        <f t="shared" si="118"/>
        <v>5</v>
      </c>
      <c r="S110">
        <f t="shared" si="118"/>
        <v>2</v>
      </c>
      <c r="T110">
        <f t="shared" si="118"/>
        <v>0</v>
      </c>
      <c r="U110">
        <f t="shared" si="118"/>
        <v>0</v>
      </c>
      <c r="V110">
        <f t="shared" si="118"/>
        <v>3</v>
      </c>
      <c r="W110">
        <f t="shared" si="118"/>
        <v>10</v>
      </c>
      <c r="Y110" s="4">
        <v>1984</v>
      </c>
      <c r="Z110">
        <f t="shared" si="119"/>
        <v>0</v>
      </c>
      <c r="AA110">
        <f t="shared" si="119"/>
        <v>0</v>
      </c>
      <c r="AB110">
        <f t="shared" si="119"/>
        <v>0</v>
      </c>
      <c r="AC110">
        <f t="shared" si="119"/>
        <v>1</v>
      </c>
      <c r="AD110">
        <f t="shared" si="119"/>
        <v>0</v>
      </c>
      <c r="AE110">
        <f t="shared" si="119"/>
        <v>1</v>
      </c>
      <c r="AG110" s="4">
        <v>1984</v>
      </c>
      <c r="AH110">
        <f t="shared" si="120"/>
        <v>63</v>
      </c>
      <c r="AI110">
        <f t="shared" si="120"/>
        <v>89</v>
      </c>
      <c r="AJ110">
        <f t="shared" si="120"/>
        <v>34</v>
      </c>
      <c r="AK110">
        <f t="shared" si="120"/>
        <v>6</v>
      </c>
      <c r="AL110">
        <f t="shared" si="120"/>
        <v>37</v>
      </c>
      <c r="AM110">
        <f t="shared" si="120"/>
        <v>229</v>
      </c>
      <c r="AO110" s="4">
        <v>1984</v>
      </c>
      <c r="AP110">
        <f t="shared" si="121"/>
        <v>0</v>
      </c>
      <c r="AQ110">
        <f t="shared" si="121"/>
        <v>0</v>
      </c>
      <c r="AR110">
        <f t="shared" si="121"/>
        <v>0</v>
      </c>
      <c r="AS110">
        <f t="shared" si="121"/>
        <v>0</v>
      </c>
      <c r="AT110">
        <f t="shared" si="121"/>
        <v>0</v>
      </c>
      <c r="AU110">
        <f t="shared" si="121"/>
        <v>0</v>
      </c>
    </row>
    <row r="111" spans="1:47" ht="12.75">
      <c r="A111" s="4">
        <v>1985</v>
      </c>
      <c r="B111">
        <f t="shared" si="116"/>
        <v>43</v>
      </c>
      <c r="C111">
        <f t="shared" si="116"/>
        <v>80</v>
      </c>
      <c r="D111">
        <f t="shared" si="116"/>
        <v>43</v>
      </c>
      <c r="E111">
        <f t="shared" si="116"/>
        <v>8</v>
      </c>
      <c r="F111">
        <f t="shared" si="116"/>
        <v>32</v>
      </c>
      <c r="G111">
        <f t="shared" si="116"/>
        <v>206</v>
      </c>
      <c r="I111" s="4">
        <v>1985</v>
      </c>
      <c r="J111">
        <f t="shared" si="117"/>
        <v>27</v>
      </c>
      <c r="K111">
        <f t="shared" si="117"/>
        <v>50</v>
      </c>
      <c r="L111">
        <f t="shared" si="117"/>
        <v>12</v>
      </c>
      <c r="M111">
        <f t="shared" si="117"/>
        <v>4</v>
      </c>
      <c r="N111">
        <f t="shared" si="117"/>
        <v>15</v>
      </c>
      <c r="O111">
        <f t="shared" si="117"/>
        <v>108</v>
      </c>
      <c r="Q111" s="4">
        <v>1985</v>
      </c>
      <c r="R111">
        <f t="shared" si="118"/>
        <v>1</v>
      </c>
      <c r="S111">
        <f t="shared" si="118"/>
        <v>4</v>
      </c>
      <c r="T111">
        <f t="shared" si="118"/>
        <v>2</v>
      </c>
      <c r="U111">
        <f t="shared" si="118"/>
        <v>0</v>
      </c>
      <c r="V111">
        <f t="shared" si="118"/>
        <v>1</v>
      </c>
      <c r="W111">
        <f t="shared" si="118"/>
        <v>8</v>
      </c>
      <c r="Y111" s="4">
        <v>1985</v>
      </c>
      <c r="Z111">
        <f t="shared" si="119"/>
        <v>0</v>
      </c>
      <c r="AA111">
        <f t="shared" si="119"/>
        <v>0</v>
      </c>
      <c r="AB111">
        <f t="shared" si="119"/>
        <v>0</v>
      </c>
      <c r="AC111">
        <f t="shared" si="119"/>
        <v>0</v>
      </c>
      <c r="AD111">
        <f t="shared" si="119"/>
        <v>0</v>
      </c>
      <c r="AE111">
        <f t="shared" si="119"/>
        <v>0</v>
      </c>
      <c r="AG111" s="4">
        <v>1985</v>
      </c>
      <c r="AH111">
        <f t="shared" si="120"/>
        <v>29</v>
      </c>
      <c r="AI111">
        <f t="shared" si="120"/>
        <v>43</v>
      </c>
      <c r="AJ111">
        <f t="shared" si="120"/>
        <v>16</v>
      </c>
      <c r="AK111">
        <f t="shared" si="120"/>
        <v>4</v>
      </c>
      <c r="AL111">
        <f t="shared" si="120"/>
        <v>17</v>
      </c>
      <c r="AM111">
        <f t="shared" si="120"/>
        <v>109</v>
      </c>
      <c r="AO111" s="4">
        <v>1985</v>
      </c>
      <c r="AP111">
        <f t="shared" si="121"/>
        <v>0</v>
      </c>
      <c r="AQ111">
        <f t="shared" si="121"/>
        <v>0</v>
      </c>
      <c r="AR111">
        <f t="shared" si="121"/>
        <v>0</v>
      </c>
      <c r="AS111">
        <f t="shared" si="121"/>
        <v>0</v>
      </c>
      <c r="AT111">
        <f t="shared" si="121"/>
        <v>0</v>
      </c>
      <c r="AU111">
        <f t="shared" si="121"/>
        <v>0</v>
      </c>
    </row>
    <row r="112" spans="1:47" ht="12.75">
      <c r="A112" s="4">
        <v>1986</v>
      </c>
      <c r="B112">
        <f t="shared" si="116"/>
        <v>60</v>
      </c>
      <c r="C112">
        <f t="shared" si="116"/>
        <v>99</v>
      </c>
      <c r="D112">
        <f t="shared" si="116"/>
        <v>45</v>
      </c>
      <c r="E112">
        <f t="shared" si="116"/>
        <v>14</v>
      </c>
      <c r="F112">
        <f t="shared" si="116"/>
        <v>50</v>
      </c>
      <c r="G112">
        <f t="shared" si="116"/>
        <v>268</v>
      </c>
      <c r="I112" s="4">
        <v>1986</v>
      </c>
      <c r="J112">
        <f t="shared" si="117"/>
        <v>32</v>
      </c>
      <c r="K112">
        <f t="shared" si="117"/>
        <v>43</v>
      </c>
      <c r="L112">
        <f t="shared" si="117"/>
        <v>25</v>
      </c>
      <c r="M112">
        <f t="shared" si="117"/>
        <v>4</v>
      </c>
      <c r="N112">
        <f t="shared" si="117"/>
        <v>23</v>
      </c>
      <c r="O112">
        <f t="shared" si="117"/>
        <v>127</v>
      </c>
      <c r="Q112" s="4">
        <v>1986</v>
      </c>
      <c r="R112">
        <f t="shared" si="118"/>
        <v>0</v>
      </c>
      <c r="S112">
        <f t="shared" si="118"/>
        <v>1</v>
      </c>
      <c r="T112">
        <f t="shared" si="118"/>
        <v>1</v>
      </c>
      <c r="U112">
        <f t="shared" si="118"/>
        <v>0</v>
      </c>
      <c r="V112">
        <f t="shared" si="118"/>
        <v>1</v>
      </c>
      <c r="W112">
        <f t="shared" si="118"/>
        <v>3</v>
      </c>
      <c r="Y112" s="4">
        <v>1986</v>
      </c>
      <c r="Z112">
        <f t="shared" si="119"/>
        <v>0</v>
      </c>
      <c r="AA112">
        <f t="shared" si="119"/>
        <v>0</v>
      </c>
      <c r="AB112">
        <f t="shared" si="119"/>
        <v>0</v>
      </c>
      <c r="AC112">
        <f t="shared" si="119"/>
        <v>0</v>
      </c>
      <c r="AD112">
        <f t="shared" si="119"/>
        <v>0</v>
      </c>
      <c r="AE112">
        <f t="shared" si="119"/>
        <v>0</v>
      </c>
      <c r="AG112" s="4">
        <v>1986</v>
      </c>
      <c r="AH112">
        <f t="shared" si="120"/>
        <v>56</v>
      </c>
      <c r="AI112">
        <f t="shared" si="120"/>
        <v>56</v>
      </c>
      <c r="AJ112">
        <f t="shared" si="120"/>
        <v>18</v>
      </c>
      <c r="AK112">
        <f t="shared" si="120"/>
        <v>3</v>
      </c>
      <c r="AL112">
        <f t="shared" si="120"/>
        <v>30</v>
      </c>
      <c r="AM112">
        <f t="shared" si="120"/>
        <v>163</v>
      </c>
      <c r="AO112" s="4">
        <v>1986</v>
      </c>
      <c r="AP112">
        <f t="shared" si="121"/>
        <v>0</v>
      </c>
      <c r="AQ112">
        <f t="shared" si="121"/>
        <v>0</v>
      </c>
      <c r="AR112">
        <f t="shared" si="121"/>
        <v>0</v>
      </c>
      <c r="AS112">
        <f t="shared" si="121"/>
        <v>0</v>
      </c>
      <c r="AT112">
        <f t="shared" si="121"/>
        <v>0</v>
      </c>
      <c r="AU112">
        <f t="shared" si="121"/>
        <v>0</v>
      </c>
    </row>
    <row r="113" spans="1:47" ht="12.75">
      <c r="A113" s="4">
        <v>1987</v>
      </c>
      <c r="B113">
        <f t="shared" si="116"/>
        <v>63</v>
      </c>
      <c r="C113">
        <f t="shared" si="116"/>
        <v>108</v>
      </c>
      <c r="D113">
        <f t="shared" si="116"/>
        <v>70</v>
      </c>
      <c r="E113">
        <f t="shared" si="116"/>
        <v>19</v>
      </c>
      <c r="F113">
        <f t="shared" si="116"/>
        <v>76</v>
      </c>
      <c r="G113">
        <f t="shared" si="116"/>
        <v>336</v>
      </c>
      <c r="I113" s="4">
        <v>1987</v>
      </c>
      <c r="J113">
        <f t="shared" si="117"/>
        <v>44</v>
      </c>
      <c r="K113">
        <f t="shared" si="117"/>
        <v>57</v>
      </c>
      <c r="L113">
        <f t="shared" si="117"/>
        <v>28</v>
      </c>
      <c r="M113">
        <f t="shared" si="117"/>
        <v>7</v>
      </c>
      <c r="N113">
        <f t="shared" si="117"/>
        <v>27</v>
      </c>
      <c r="O113">
        <f t="shared" si="117"/>
        <v>163</v>
      </c>
      <c r="Q113" s="4">
        <v>1987</v>
      </c>
      <c r="R113">
        <f t="shared" si="118"/>
        <v>3</v>
      </c>
      <c r="S113">
        <f t="shared" si="118"/>
        <v>1</v>
      </c>
      <c r="T113">
        <f t="shared" si="118"/>
        <v>3</v>
      </c>
      <c r="U113">
        <f t="shared" si="118"/>
        <v>0</v>
      </c>
      <c r="V113">
        <f t="shared" si="118"/>
        <v>0</v>
      </c>
      <c r="W113">
        <f t="shared" si="118"/>
        <v>7</v>
      </c>
      <c r="Y113" s="4">
        <v>1987</v>
      </c>
      <c r="Z113">
        <f t="shared" si="119"/>
        <v>1</v>
      </c>
      <c r="AA113">
        <f t="shared" si="119"/>
        <v>0</v>
      </c>
      <c r="AB113">
        <f t="shared" si="119"/>
        <v>1</v>
      </c>
      <c r="AC113">
        <f t="shared" si="119"/>
        <v>0</v>
      </c>
      <c r="AD113">
        <f t="shared" si="119"/>
        <v>0</v>
      </c>
      <c r="AE113">
        <f t="shared" si="119"/>
        <v>2</v>
      </c>
      <c r="AG113" s="4">
        <v>1987</v>
      </c>
      <c r="AH113">
        <f t="shared" si="120"/>
        <v>55</v>
      </c>
      <c r="AI113">
        <f t="shared" si="120"/>
        <v>63</v>
      </c>
      <c r="AJ113">
        <f t="shared" si="120"/>
        <v>40</v>
      </c>
      <c r="AK113">
        <f t="shared" si="120"/>
        <v>4</v>
      </c>
      <c r="AL113">
        <f t="shared" si="120"/>
        <v>43</v>
      </c>
      <c r="AM113">
        <f t="shared" si="120"/>
        <v>205</v>
      </c>
      <c r="AO113" s="4">
        <v>1987</v>
      </c>
      <c r="AP113">
        <f t="shared" si="121"/>
        <v>0</v>
      </c>
      <c r="AQ113">
        <f t="shared" si="121"/>
        <v>0</v>
      </c>
      <c r="AR113">
        <f t="shared" si="121"/>
        <v>0</v>
      </c>
      <c r="AS113">
        <f t="shared" si="121"/>
        <v>0</v>
      </c>
      <c r="AT113">
        <f t="shared" si="121"/>
        <v>0</v>
      </c>
      <c r="AU113">
        <f t="shared" si="121"/>
        <v>0</v>
      </c>
    </row>
    <row r="114" spans="1:47" ht="12.75">
      <c r="A114" s="4">
        <v>1988</v>
      </c>
      <c r="B114">
        <f t="shared" si="116"/>
        <v>37</v>
      </c>
      <c r="C114">
        <f t="shared" si="116"/>
        <v>74</v>
      </c>
      <c r="D114">
        <f t="shared" si="116"/>
        <v>53</v>
      </c>
      <c r="E114">
        <f t="shared" si="116"/>
        <v>14</v>
      </c>
      <c r="F114">
        <f t="shared" si="116"/>
        <v>62</v>
      </c>
      <c r="G114">
        <f t="shared" si="116"/>
        <v>240</v>
      </c>
      <c r="I114" s="4">
        <v>1988</v>
      </c>
      <c r="J114">
        <f t="shared" si="117"/>
        <v>23</v>
      </c>
      <c r="K114">
        <f t="shared" si="117"/>
        <v>37</v>
      </c>
      <c r="L114">
        <f t="shared" si="117"/>
        <v>20</v>
      </c>
      <c r="M114">
        <f t="shared" si="117"/>
        <v>7</v>
      </c>
      <c r="N114">
        <f t="shared" si="117"/>
        <v>31</v>
      </c>
      <c r="O114">
        <f t="shared" si="117"/>
        <v>118</v>
      </c>
      <c r="Q114" s="4">
        <v>1988</v>
      </c>
      <c r="R114">
        <f t="shared" si="118"/>
        <v>1</v>
      </c>
      <c r="S114">
        <f t="shared" si="118"/>
        <v>3</v>
      </c>
      <c r="T114">
        <f t="shared" si="118"/>
        <v>1</v>
      </c>
      <c r="U114">
        <f t="shared" si="118"/>
        <v>0</v>
      </c>
      <c r="V114">
        <f t="shared" si="118"/>
        <v>0</v>
      </c>
      <c r="W114">
        <f t="shared" si="118"/>
        <v>5</v>
      </c>
      <c r="Y114" s="4">
        <v>1988</v>
      </c>
      <c r="Z114">
        <f t="shared" si="119"/>
        <v>1</v>
      </c>
      <c r="AA114">
        <f t="shared" si="119"/>
        <v>1</v>
      </c>
      <c r="AB114">
        <f t="shared" si="119"/>
        <v>0</v>
      </c>
      <c r="AC114">
        <f t="shared" si="119"/>
        <v>0</v>
      </c>
      <c r="AD114">
        <f t="shared" si="119"/>
        <v>0</v>
      </c>
      <c r="AE114">
        <f t="shared" si="119"/>
        <v>2</v>
      </c>
      <c r="AG114" s="4">
        <v>1988</v>
      </c>
      <c r="AH114">
        <f t="shared" si="120"/>
        <v>32</v>
      </c>
      <c r="AI114">
        <f t="shared" si="120"/>
        <v>47</v>
      </c>
      <c r="AJ114">
        <f t="shared" si="120"/>
        <v>24</v>
      </c>
      <c r="AK114">
        <f t="shared" si="120"/>
        <v>15</v>
      </c>
      <c r="AL114">
        <f t="shared" si="120"/>
        <v>28</v>
      </c>
      <c r="AM114">
        <f t="shared" si="120"/>
        <v>146</v>
      </c>
      <c r="AO114" s="4">
        <v>1988</v>
      </c>
      <c r="AP114">
        <f t="shared" si="121"/>
        <v>0</v>
      </c>
      <c r="AQ114">
        <f t="shared" si="121"/>
        <v>0</v>
      </c>
      <c r="AR114">
        <f t="shared" si="121"/>
        <v>0</v>
      </c>
      <c r="AS114">
        <f t="shared" si="121"/>
        <v>0</v>
      </c>
      <c r="AT114">
        <f t="shared" si="121"/>
        <v>0</v>
      </c>
      <c r="AU114">
        <f t="shared" si="121"/>
        <v>0</v>
      </c>
    </row>
    <row r="115" spans="1:47" ht="12.75">
      <c r="A115" s="4">
        <v>1989</v>
      </c>
      <c r="B115">
        <f t="shared" si="116"/>
        <v>42</v>
      </c>
      <c r="C115">
        <f t="shared" si="116"/>
        <v>77</v>
      </c>
      <c r="D115">
        <f t="shared" si="116"/>
        <v>65</v>
      </c>
      <c r="E115">
        <f t="shared" si="116"/>
        <v>23</v>
      </c>
      <c r="F115">
        <f t="shared" si="116"/>
        <v>53</v>
      </c>
      <c r="G115">
        <f t="shared" si="116"/>
        <v>260</v>
      </c>
      <c r="I115" s="4">
        <v>1989</v>
      </c>
      <c r="J115">
        <f t="shared" si="117"/>
        <v>25</v>
      </c>
      <c r="K115">
        <f t="shared" si="117"/>
        <v>41</v>
      </c>
      <c r="L115">
        <f t="shared" si="117"/>
        <v>19</v>
      </c>
      <c r="M115">
        <f t="shared" si="117"/>
        <v>6</v>
      </c>
      <c r="N115">
        <f t="shared" si="117"/>
        <v>27</v>
      </c>
      <c r="O115">
        <f t="shared" si="117"/>
        <v>118</v>
      </c>
      <c r="Q115" s="4">
        <v>1989</v>
      </c>
      <c r="R115">
        <f t="shared" si="118"/>
        <v>0</v>
      </c>
      <c r="S115">
        <f t="shared" si="118"/>
        <v>2</v>
      </c>
      <c r="T115">
        <f t="shared" si="118"/>
        <v>0</v>
      </c>
      <c r="U115">
        <f t="shared" si="118"/>
        <v>0</v>
      </c>
      <c r="V115">
        <f t="shared" si="118"/>
        <v>3</v>
      </c>
      <c r="W115">
        <f t="shared" si="118"/>
        <v>5</v>
      </c>
      <c r="Y115" s="4">
        <v>1989</v>
      </c>
      <c r="Z115">
        <f t="shared" si="119"/>
        <v>0</v>
      </c>
      <c r="AA115">
        <f t="shared" si="119"/>
        <v>0</v>
      </c>
      <c r="AB115">
        <f t="shared" si="119"/>
        <v>0</v>
      </c>
      <c r="AC115">
        <f t="shared" si="119"/>
        <v>0</v>
      </c>
      <c r="AD115">
        <f t="shared" si="119"/>
        <v>0</v>
      </c>
      <c r="AE115">
        <f t="shared" si="119"/>
        <v>0</v>
      </c>
      <c r="AG115" s="4">
        <v>1989</v>
      </c>
      <c r="AH115">
        <f t="shared" si="120"/>
        <v>34</v>
      </c>
      <c r="AI115">
        <f t="shared" si="120"/>
        <v>65</v>
      </c>
      <c r="AJ115">
        <f t="shared" si="120"/>
        <v>24</v>
      </c>
      <c r="AK115">
        <f t="shared" si="120"/>
        <v>3</v>
      </c>
      <c r="AL115">
        <f t="shared" si="120"/>
        <v>42</v>
      </c>
      <c r="AM115">
        <f t="shared" si="120"/>
        <v>168</v>
      </c>
      <c r="AO115" s="4">
        <v>1989</v>
      </c>
      <c r="AP115">
        <f t="shared" si="121"/>
        <v>0</v>
      </c>
      <c r="AQ115">
        <f t="shared" si="121"/>
        <v>0</v>
      </c>
      <c r="AR115">
        <f t="shared" si="121"/>
        <v>0</v>
      </c>
      <c r="AS115">
        <f t="shared" si="121"/>
        <v>0</v>
      </c>
      <c r="AT115">
        <f t="shared" si="121"/>
        <v>0</v>
      </c>
      <c r="AU115">
        <f t="shared" si="121"/>
        <v>0</v>
      </c>
    </row>
    <row r="116" spans="1:47" ht="12.75">
      <c r="A116" s="4">
        <v>1990</v>
      </c>
      <c r="B116">
        <f t="shared" si="116"/>
        <v>46</v>
      </c>
      <c r="C116">
        <f t="shared" si="116"/>
        <v>77</v>
      </c>
      <c r="D116">
        <f t="shared" si="116"/>
        <v>55</v>
      </c>
      <c r="E116">
        <f t="shared" si="116"/>
        <v>27</v>
      </c>
      <c r="F116">
        <f t="shared" si="116"/>
        <v>89</v>
      </c>
      <c r="G116">
        <f t="shared" si="116"/>
        <v>294</v>
      </c>
      <c r="I116" s="4">
        <v>1990</v>
      </c>
      <c r="J116">
        <f t="shared" si="117"/>
        <v>25</v>
      </c>
      <c r="K116">
        <f t="shared" si="117"/>
        <v>53</v>
      </c>
      <c r="L116">
        <f t="shared" si="117"/>
        <v>39</v>
      </c>
      <c r="M116">
        <f t="shared" si="117"/>
        <v>27</v>
      </c>
      <c r="N116">
        <f t="shared" si="117"/>
        <v>38</v>
      </c>
      <c r="O116">
        <f t="shared" si="117"/>
        <v>182</v>
      </c>
      <c r="Q116" s="4">
        <v>1990</v>
      </c>
      <c r="R116">
        <f t="shared" si="118"/>
        <v>2</v>
      </c>
      <c r="S116">
        <f t="shared" si="118"/>
        <v>3</v>
      </c>
      <c r="T116">
        <f t="shared" si="118"/>
        <v>1</v>
      </c>
      <c r="U116">
        <f t="shared" si="118"/>
        <v>1</v>
      </c>
      <c r="V116">
        <f t="shared" si="118"/>
        <v>1</v>
      </c>
      <c r="W116">
        <f t="shared" si="118"/>
        <v>8</v>
      </c>
      <c r="Y116" s="4">
        <v>1990</v>
      </c>
      <c r="Z116">
        <f t="shared" si="119"/>
        <v>0</v>
      </c>
      <c r="AA116">
        <f t="shared" si="119"/>
        <v>0</v>
      </c>
      <c r="AB116">
        <f t="shared" si="119"/>
        <v>0</v>
      </c>
      <c r="AC116">
        <f t="shared" si="119"/>
        <v>0</v>
      </c>
      <c r="AD116">
        <f t="shared" si="119"/>
        <v>0</v>
      </c>
      <c r="AE116">
        <f t="shared" si="119"/>
        <v>0</v>
      </c>
      <c r="AG116" s="4">
        <v>1990</v>
      </c>
      <c r="AH116">
        <f t="shared" si="120"/>
        <v>34</v>
      </c>
      <c r="AI116">
        <f t="shared" si="120"/>
        <v>49</v>
      </c>
      <c r="AJ116">
        <f t="shared" si="120"/>
        <v>23</v>
      </c>
      <c r="AK116">
        <f t="shared" si="120"/>
        <v>17</v>
      </c>
      <c r="AL116">
        <f t="shared" si="120"/>
        <v>65</v>
      </c>
      <c r="AM116">
        <f t="shared" si="120"/>
        <v>188</v>
      </c>
      <c r="AO116" s="4">
        <v>1990</v>
      </c>
      <c r="AP116">
        <f t="shared" si="121"/>
        <v>0</v>
      </c>
      <c r="AQ116">
        <f t="shared" si="121"/>
        <v>0</v>
      </c>
      <c r="AR116">
        <f t="shared" si="121"/>
        <v>0</v>
      </c>
      <c r="AS116">
        <f t="shared" si="121"/>
        <v>0</v>
      </c>
      <c r="AT116">
        <f t="shared" si="121"/>
        <v>0</v>
      </c>
      <c r="AU116">
        <f t="shared" si="121"/>
        <v>0</v>
      </c>
    </row>
    <row r="117" spans="1:47" ht="12.75">
      <c r="A117" s="4">
        <v>1991</v>
      </c>
      <c r="B117">
        <f t="shared" si="116"/>
        <v>31</v>
      </c>
      <c r="C117">
        <f t="shared" si="116"/>
        <v>53</v>
      </c>
      <c r="D117">
        <f t="shared" si="116"/>
        <v>56</v>
      </c>
      <c r="E117">
        <f t="shared" si="116"/>
        <v>21</v>
      </c>
      <c r="F117">
        <f t="shared" si="116"/>
        <v>68</v>
      </c>
      <c r="G117">
        <f t="shared" si="116"/>
        <v>229</v>
      </c>
      <c r="I117" s="4">
        <v>1991</v>
      </c>
      <c r="J117">
        <f t="shared" si="117"/>
        <v>13</v>
      </c>
      <c r="K117">
        <f t="shared" si="117"/>
        <v>52</v>
      </c>
      <c r="L117">
        <f t="shared" si="117"/>
        <v>31</v>
      </c>
      <c r="M117">
        <f t="shared" si="117"/>
        <v>27</v>
      </c>
      <c r="N117">
        <f t="shared" si="117"/>
        <v>31</v>
      </c>
      <c r="O117">
        <f t="shared" si="117"/>
        <v>154</v>
      </c>
      <c r="Q117" s="4">
        <v>1991</v>
      </c>
      <c r="R117">
        <f t="shared" si="118"/>
        <v>3</v>
      </c>
      <c r="S117">
        <f t="shared" si="118"/>
        <v>5</v>
      </c>
      <c r="T117">
        <f t="shared" si="118"/>
        <v>1</v>
      </c>
      <c r="U117">
        <f t="shared" si="118"/>
        <v>1</v>
      </c>
      <c r="V117">
        <f t="shared" si="118"/>
        <v>3</v>
      </c>
      <c r="W117">
        <f t="shared" si="118"/>
        <v>13</v>
      </c>
      <c r="Y117" s="4">
        <v>1991</v>
      </c>
      <c r="Z117">
        <f t="shared" si="119"/>
        <v>0</v>
      </c>
      <c r="AA117">
        <f t="shared" si="119"/>
        <v>1</v>
      </c>
      <c r="AB117">
        <f t="shared" si="119"/>
        <v>0</v>
      </c>
      <c r="AC117">
        <f t="shared" si="119"/>
        <v>1</v>
      </c>
      <c r="AD117">
        <f t="shared" si="119"/>
        <v>0</v>
      </c>
      <c r="AE117">
        <f t="shared" si="119"/>
        <v>2</v>
      </c>
      <c r="AG117" s="4">
        <v>1991</v>
      </c>
      <c r="AH117">
        <f t="shared" si="120"/>
        <v>24</v>
      </c>
      <c r="AI117">
        <f t="shared" si="120"/>
        <v>41</v>
      </c>
      <c r="AJ117">
        <f t="shared" si="120"/>
        <v>21</v>
      </c>
      <c r="AK117">
        <f t="shared" si="120"/>
        <v>10</v>
      </c>
      <c r="AL117">
        <f t="shared" si="120"/>
        <v>48</v>
      </c>
      <c r="AM117">
        <f t="shared" si="120"/>
        <v>144</v>
      </c>
      <c r="AO117" s="4">
        <v>1991</v>
      </c>
      <c r="AP117">
        <f t="shared" si="121"/>
        <v>0</v>
      </c>
      <c r="AQ117">
        <f t="shared" si="121"/>
        <v>0</v>
      </c>
      <c r="AR117">
        <f t="shared" si="121"/>
        <v>0</v>
      </c>
      <c r="AS117">
        <f t="shared" si="121"/>
        <v>0</v>
      </c>
      <c r="AT117">
        <f t="shared" si="121"/>
        <v>0</v>
      </c>
      <c r="AU117">
        <f t="shared" si="121"/>
        <v>0</v>
      </c>
    </row>
    <row r="118" spans="1:47" ht="12.75">
      <c r="A118" s="4">
        <v>1992</v>
      </c>
      <c r="B118">
        <f t="shared" si="116"/>
        <v>23</v>
      </c>
      <c r="C118">
        <f t="shared" si="116"/>
        <v>40</v>
      </c>
      <c r="D118">
        <f t="shared" si="116"/>
        <v>50</v>
      </c>
      <c r="E118">
        <f t="shared" si="116"/>
        <v>20</v>
      </c>
      <c r="F118">
        <f t="shared" si="116"/>
        <v>216</v>
      </c>
      <c r="G118">
        <f t="shared" si="116"/>
        <v>349</v>
      </c>
      <c r="I118" s="4">
        <v>1992</v>
      </c>
      <c r="J118">
        <f t="shared" si="117"/>
        <v>10</v>
      </c>
      <c r="K118">
        <f t="shared" si="117"/>
        <v>22</v>
      </c>
      <c r="L118">
        <f t="shared" si="117"/>
        <v>22</v>
      </c>
      <c r="M118">
        <f t="shared" si="117"/>
        <v>40</v>
      </c>
      <c r="N118">
        <f t="shared" si="117"/>
        <v>123</v>
      </c>
      <c r="O118">
        <f t="shared" si="117"/>
        <v>217</v>
      </c>
      <c r="Q118" s="4">
        <v>1992</v>
      </c>
      <c r="R118">
        <f t="shared" si="118"/>
        <v>2</v>
      </c>
      <c r="S118">
        <f t="shared" si="118"/>
        <v>2</v>
      </c>
      <c r="T118">
        <f t="shared" si="118"/>
        <v>0</v>
      </c>
      <c r="U118">
        <f t="shared" si="118"/>
        <v>2</v>
      </c>
      <c r="V118">
        <f t="shared" si="118"/>
        <v>18</v>
      </c>
      <c r="W118">
        <f t="shared" si="118"/>
        <v>24</v>
      </c>
      <c r="Y118" s="4">
        <v>1992</v>
      </c>
      <c r="Z118">
        <f t="shared" si="119"/>
        <v>0</v>
      </c>
      <c r="AA118">
        <f t="shared" si="119"/>
        <v>0</v>
      </c>
      <c r="AB118">
        <f t="shared" si="119"/>
        <v>0</v>
      </c>
      <c r="AC118">
        <f t="shared" si="119"/>
        <v>0</v>
      </c>
      <c r="AD118">
        <f t="shared" si="119"/>
        <v>1</v>
      </c>
      <c r="AE118">
        <f t="shared" si="119"/>
        <v>1</v>
      </c>
      <c r="AG118" s="4">
        <v>1992</v>
      </c>
      <c r="AH118">
        <f t="shared" si="120"/>
        <v>14</v>
      </c>
      <c r="AI118">
        <f t="shared" si="120"/>
        <v>32</v>
      </c>
      <c r="AJ118">
        <f t="shared" si="120"/>
        <v>33</v>
      </c>
      <c r="AK118">
        <f t="shared" si="120"/>
        <v>15</v>
      </c>
      <c r="AL118">
        <f t="shared" si="120"/>
        <v>114</v>
      </c>
      <c r="AM118">
        <f t="shared" si="120"/>
        <v>208</v>
      </c>
      <c r="AO118" s="4">
        <v>1992</v>
      </c>
      <c r="AP118">
        <f t="shared" si="121"/>
        <v>0</v>
      </c>
      <c r="AQ118">
        <f t="shared" si="121"/>
        <v>0</v>
      </c>
      <c r="AR118">
        <f t="shared" si="121"/>
        <v>0</v>
      </c>
      <c r="AS118">
        <f t="shared" si="121"/>
        <v>0</v>
      </c>
      <c r="AT118">
        <f t="shared" si="121"/>
        <v>0</v>
      </c>
      <c r="AU118">
        <f t="shared" si="121"/>
        <v>0</v>
      </c>
    </row>
    <row r="119" spans="1:47" ht="12.75">
      <c r="A119" s="4">
        <v>1993</v>
      </c>
      <c r="B119">
        <f aca="true" t="shared" si="122" ref="B119:G126">B98+B56+B35</f>
        <v>21</v>
      </c>
      <c r="C119">
        <f t="shared" si="122"/>
        <v>42</v>
      </c>
      <c r="D119">
        <f t="shared" si="122"/>
        <v>68</v>
      </c>
      <c r="E119">
        <f t="shared" si="122"/>
        <v>34</v>
      </c>
      <c r="F119">
        <f t="shared" si="122"/>
        <v>226</v>
      </c>
      <c r="G119">
        <f t="shared" si="122"/>
        <v>391</v>
      </c>
      <c r="I119" s="4">
        <v>1993</v>
      </c>
      <c r="J119">
        <f aca="true" t="shared" si="123" ref="J119:O126">J98+J56+J35</f>
        <v>20</v>
      </c>
      <c r="K119">
        <f t="shared" si="123"/>
        <v>28</v>
      </c>
      <c r="L119">
        <f t="shared" si="123"/>
        <v>21</v>
      </c>
      <c r="M119">
        <f t="shared" si="123"/>
        <v>53</v>
      </c>
      <c r="N119">
        <f t="shared" si="123"/>
        <v>133</v>
      </c>
      <c r="O119">
        <f t="shared" si="123"/>
        <v>255</v>
      </c>
      <c r="Q119" s="4">
        <v>1993</v>
      </c>
      <c r="R119">
        <f aca="true" t="shared" si="124" ref="R119:W126">R98+R56+R35</f>
        <v>0</v>
      </c>
      <c r="S119">
        <f t="shared" si="124"/>
        <v>3</v>
      </c>
      <c r="T119">
        <f t="shared" si="124"/>
        <v>3</v>
      </c>
      <c r="U119">
        <f t="shared" si="124"/>
        <v>1</v>
      </c>
      <c r="V119">
        <f t="shared" si="124"/>
        <v>13</v>
      </c>
      <c r="W119">
        <f t="shared" si="124"/>
        <v>20</v>
      </c>
      <c r="Y119" s="4">
        <v>1993</v>
      </c>
      <c r="Z119">
        <f aca="true" t="shared" si="125" ref="Z119:AE126">Z98+Z56+Z35</f>
        <v>0</v>
      </c>
      <c r="AA119">
        <f t="shared" si="125"/>
        <v>0</v>
      </c>
      <c r="AB119">
        <f t="shared" si="125"/>
        <v>0</v>
      </c>
      <c r="AC119">
        <f t="shared" si="125"/>
        <v>0</v>
      </c>
      <c r="AD119">
        <f t="shared" si="125"/>
        <v>0</v>
      </c>
      <c r="AE119">
        <f t="shared" si="125"/>
        <v>0</v>
      </c>
      <c r="AG119" s="4">
        <v>1993</v>
      </c>
      <c r="AH119">
        <f aca="true" t="shared" si="126" ref="AH119:AM126">AH98+AH56+AH35</f>
        <v>20</v>
      </c>
      <c r="AI119">
        <f t="shared" si="126"/>
        <v>38</v>
      </c>
      <c r="AJ119">
        <f t="shared" si="126"/>
        <v>27</v>
      </c>
      <c r="AK119">
        <f t="shared" si="126"/>
        <v>16</v>
      </c>
      <c r="AL119">
        <f t="shared" si="126"/>
        <v>151</v>
      </c>
      <c r="AM119">
        <f t="shared" si="126"/>
        <v>252</v>
      </c>
      <c r="AO119" s="4">
        <v>1993</v>
      </c>
      <c r="AP119">
        <f aca="true" t="shared" si="127" ref="AP119:AU126">AP98+AP56+AP35</f>
        <v>0</v>
      </c>
      <c r="AQ119">
        <f t="shared" si="127"/>
        <v>0</v>
      </c>
      <c r="AR119">
        <f t="shared" si="127"/>
        <v>0</v>
      </c>
      <c r="AS119">
        <f t="shared" si="127"/>
        <v>0</v>
      </c>
      <c r="AT119">
        <f t="shared" si="127"/>
        <v>0</v>
      </c>
      <c r="AU119">
        <f t="shared" si="127"/>
        <v>0</v>
      </c>
    </row>
    <row r="120" spans="1:47" ht="12.75">
      <c r="A120" s="4">
        <v>1994</v>
      </c>
      <c r="B120">
        <f t="shared" si="122"/>
        <v>27</v>
      </c>
      <c r="C120">
        <f t="shared" si="122"/>
        <v>44</v>
      </c>
      <c r="D120">
        <f t="shared" si="122"/>
        <v>63</v>
      </c>
      <c r="E120">
        <f t="shared" si="122"/>
        <v>36</v>
      </c>
      <c r="F120">
        <f t="shared" si="122"/>
        <v>255</v>
      </c>
      <c r="G120">
        <f t="shared" si="122"/>
        <v>425</v>
      </c>
      <c r="I120" s="4">
        <v>1994</v>
      </c>
      <c r="J120">
        <f t="shared" si="123"/>
        <v>16</v>
      </c>
      <c r="K120">
        <f t="shared" si="123"/>
        <v>22</v>
      </c>
      <c r="L120">
        <f t="shared" si="123"/>
        <v>48</v>
      </c>
      <c r="M120">
        <f t="shared" si="123"/>
        <v>63</v>
      </c>
      <c r="N120">
        <f t="shared" si="123"/>
        <v>149</v>
      </c>
      <c r="O120">
        <f t="shared" si="123"/>
        <v>298</v>
      </c>
      <c r="Q120" s="4">
        <v>1994</v>
      </c>
      <c r="R120">
        <f t="shared" si="124"/>
        <v>1</v>
      </c>
      <c r="S120">
        <f t="shared" si="124"/>
        <v>1</v>
      </c>
      <c r="T120">
        <f t="shared" si="124"/>
        <v>9</v>
      </c>
      <c r="U120">
        <f t="shared" si="124"/>
        <v>1</v>
      </c>
      <c r="V120">
        <f t="shared" si="124"/>
        <v>17</v>
      </c>
      <c r="W120">
        <f t="shared" si="124"/>
        <v>29</v>
      </c>
      <c r="Y120" s="4">
        <v>1994</v>
      </c>
      <c r="Z120">
        <f t="shared" si="125"/>
        <v>0</v>
      </c>
      <c r="AA120">
        <f t="shared" si="125"/>
        <v>0</v>
      </c>
      <c r="AB120">
        <f t="shared" si="125"/>
        <v>2</v>
      </c>
      <c r="AC120">
        <f t="shared" si="125"/>
        <v>0</v>
      </c>
      <c r="AD120">
        <f t="shared" si="125"/>
        <v>0</v>
      </c>
      <c r="AE120">
        <f t="shared" si="125"/>
        <v>2</v>
      </c>
      <c r="AG120" s="4">
        <v>1994</v>
      </c>
      <c r="AH120">
        <f t="shared" si="126"/>
        <v>15</v>
      </c>
      <c r="AI120">
        <f t="shared" si="126"/>
        <v>27</v>
      </c>
      <c r="AJ120">
        <f t="shared" si="126"/>
        <v>29</v>
      </c>
      <c r="AK120">
        <f t="shared" si="126"/>
        <v>16</v>
      </c>
      <c r="AL120">
        <f t="shared" si="126"/>
        <v>151</v>
      </c>
      <c r="AM120">
        <f t="shared" si="126"/>
        <v>238</v>
      </c>
      <c r="AO120" s="4">
        <v>1994</v>
      </c>
      <c r="AP120">
        <f t="shared" si="127"/>
        <v>0</v>
      </c>
      <c r="AQ120">
        <f t="shared" si="127"/>
        <v>0</v>
      </c>
      <c r="AR120">
        <f t="shared" si="127"/>
        <v>0</v>
      </c>
      <c r="AS120">
        <f t="shared" si="127"/>
        <v>0</v>
      </c>
      <c r="AT120">
        <f t="shared" si="127"/>
        <v>0</v>
      </c>
      <c r="AU120">
        <f t="shared" si="127"/>
        <v>0</v>
      </c>
    </row>
    <row r="121" spans="1:47" ht="12.75">
      <c r="A121" s="4">
        <v>1995</v>
      </c>
      <c r="B121">
        <f t="shared" si="122"/>
        <v>20</v>
      </c>
      <c r="C121">
        <f t="shared" si="122"/>
        <v>51</v>
      </c>
      <c r="D121">
        <f t="shared" si="122"/>
        <v>75</v>
      </c>
      <c r="E121">
        <f t="shared" si="122"/>
        <v>36</v>
      </c>
      <c r="F121">
        <f t="shared" si="122"/>
        <v>255</v>
      </c>
      <c r="G121">
        <f t="shared" si="122"/>
        <v>437</v>
      </c>
      <c r="I121" s="4">
        <v>1995</v>
      </c>
      <c r="J121">
        <f t="shared" si="123"/>
        <v>11</v>
      </c>
      <c r="K121">
        <f t="shared" si="123"/>
        <v>32</v>
      </c>
      <c r="L121">
        <f t="shared" si="123"/>
        <v>24</v>
      </c>
      <c r="M121">
        <f t="shared" si="123"/>
        <v>62</v>
      </c>
      <c r="N121">
        <f t="shared" si="123"/>
        <v>151</v>
      </c>
      <c r="O121">
        <f t="shared" si="123"/>
        <v>280</v>
      </c>
      <c r="Q121" s="4">
        <v>1995</v>
      </c>
      <c r="R121">
        <f t="shared" si="124"/>
        <v>2</v>
      </c>
      <c r="S121">
        <f t="shared" si="124"/>
        <v>2</v>
      </c>
      <c r="T121">
        <f t="shared" si="124"/>
        <v>1</v>
      </c>
      <c r="U121">
        <f t="shared" si="124"/>
        <v>1</v>
      </c>
      <c r="V121">
        <f t="shared" si="124"/>
        <v>19</v>
      </c>
      <c r="W121">
        <f t="shared" si="124"/>
        <v>25</v>
      </c>
      <c r="Y121" s="4">
        <v>1995</v>
      </c>
      <c r="Z121">
        <f t="shared" si="125"/>
        <v>0</v>
      </c>
      <c r="AA121">
        <f t="shared" si="125"/>
        <v>2</v>
      </c>
      <c r="AB121">
        <f t="shared" si="125"/>
        <v>0</v>
      </c>
      <c r="AC121">
        <f t="shared" si="125"/>
        <v>0</v>
      </c>
      <c r="AD121">
        <f t="shared" si="125"/>
        <v>0</v>
      </c>
      <c r="AE121">
        <f t="shared" si="125"/>
        <v>2</v>
      </c>
      <c r="AG121" s="4">
        <v>1995</v>
      </c>
      <c r="AH121">
        <f t="shared" si="126"/>
        <v>19</v>
      </c>
      <c r="AI121">
        <f t="shared" si="126"/>
        <v>29</v>
      </c>
      <c r="AJ121">
        <f t="shared" si="126"/>
        <v>19</v>
      </c>
      <c r="AK121">
        <f t="shared" si="126"/>
        <v>18</v>
      </c>
      <c r="AL121">
        <f t="shared" si="126"/>
        <v>157</v>
      </c>
      <c r="AM121">
        <f t="shared" si="126"/>
        <v>242</v>
      </c>
      <c r="AO121" s="4">
        <v>1995</v>
      </c>
      <c r="AP121">
        <f t="shared" si="127"/>
        <v>0</v>
      </c>
      <c r="AQ121">
        <f t="shared" si="127"/>
        <v>0</v>
      </c>
      <c r="AR121">
        <f t="shared" si="127"/>
        <v>0</v>
      </c>
      <c r="AS121">
        <f t="shared" si="127"/>
        <v>0</v>
      </c>
      <c r="AT121">
        <f t="shared" si="127"/>
        <v>0</v>
      </c>
      <c r="AU121">
        <f t="shared" si="127"/>
        <v>0</v>
      </c>
    </row>
    <row r="122" spans="1:47" ht="12.75">
      <c r="A122" s="4">
        <v>1996</v>
      </c>
      <c r="B122">
        <f t="shared" si="122"/>
        <v>55</v>
      </c>
      <c r="C122">
        <f t="shared" si="122"/>
        <v>82</v>
      </c>
      <c r="D122">
        <f t="shared" si="122"/>
        <v>103</v>
      </c>
      <c r="E122">
        <f t="shared" si="122"/>
        <v>63</v>
      </c>
      <c r="F122">
        <f t="shared" si="122"/>
        <v>152</v>
      </c>
      <c r="G122">
        <f t="shared" si="122"/>
        <v>455</v>
      </c>
      <c r="I122" s="4">
        <v>1996</v>
      </c>
      <c r="J122">
        <f t="shared" si="123"/>
        <v>37</v>
      </c>
      <c r="K122">
        <f t="shared" si="123"/>
        <v>44</v>
      </c>
      <c r="L122">
        <f t="shared" si="123"/>
        <v>37</v>
      </c>
      <c r="M122">
        <f t="shared" si="123"/>
        <v>104</v>
      </c>
      <c r="N122">
        <f t="shared" si="123"/>
        <v>105</v>
      </c>
      <c r="O122">
        <f t="shared" si="123"/>
        <v>327</v>
      </c>
      <c r="Q122" s="4">
        <v>1996</v>
      </c>
      <c r="R122">
        <f t="shared" si="124"/>
        <v>11</v>
      </c>
      <c r="S122">
        <f t="shared" si="124"/>
        <v>2</v>
      </c>
      <c r="T122">
        <f t="shared" si="124"/>
        <v>6</v>
      </c>
      <c r="U122">
        <f t="shared" si="124"/>
        <v>5</v>
      </c>
      <c r="V122">
        <f t="shared" si="124"/>
        <v>12</v>
      </c>
      <c r="W122">
        <f t="shared" si="124"/>
        <v>36</v>
      </c>
      <c r="Y122" s="4">
        <v>1996</v>
      </c>
      <c r="Z122">
        <f t="shared" si="125"/>
        <v>0</v>
      </c>
      <c r="AA122">
        <f t="shared" si="125"/>
        <v>0</v>
      </c>
      <c r="AB122">
        <f t="shared" si="125"/>
        <v>1</v>
      </c>
      <c r="AC122">
        <f t="shared" si="125"/>
        <v>1</v>
      </c>
      <c r="AD122">
        <f t="shared" si="125"/>
        <v>0</v>
      </c>
      <c r="AE122">
        <f t="shared" si="125"/>
        <v>2</v>
      </c>
      <c r="AG122" s="4">
        <v>1996</v>
      </c>
      <c r="AH122">
        <f t="shared" si="126"/>
        <v>52</v>
      </c>
      <c r="AI122">
        <f t="shared" si="126"/>
        <v>64</v>
      </c>
      <c r="AJ122">
        <f t="shared" si="126"/>
        <v>41</v>
      </c>
      <c r="AK122">
        <f t="shared" si="126"/>
        <v>63</v>
      </c>
      <c r="AL122">
        <f t="shared" si="126"/>
        <v>133</v>
      </c>
      <c r="AM122">
        <f t="shared" si="126"/>
        <v>353</v>
      </c>
      <c r="AO122" s="4">
        <v>1996</v>
      </c>
      <c r="AP122">
        <f t="shared" si="127"/>
        <v>0</v>
      </c>
      <c r="AQ122">
        <f t="shared" si="127"/>
        <v>0</v>
      </c>
      <c r="AR122">
        <f t="shared" si="127"/>
        <v>0</v>
      </c>
      <c r="AS122">
        <f t="shared" si="127"/>
        <v>0</v>
      </c>
      <c r="AT122">
        <f t="shared" si="127"/>
        <v>0</v>
      </c>
      <c r="AU122">
        <f t="shared" si="127"/>
        <v>0</v>
      </c>
    </row>
    <row r="123" spans="1:47" ht="12.75">
      <c r="A123" s="4">
        <v>1997</v>
      </c>
      <c r="B123">
        <f t="shared" si="122"/>
        <v>51</v>
      </c>
      <c r="C123">
        <f t="shared" si="122"/>
        <v>107</v>
      </c>
      <c r="D123">
        <f t="shared" si="122"/>
        <v>144</v>
      </c>
      <c r="E123">
        <f t="shared" si="122"/>
        <v>80</v>
      </c>
      <c r="F123">
        <f t="shared" si="122"/>
        <v>173</v>
      </c>
      <c r="G123">
        <f t="shared" si="122"/>
        <v>555</v>
      </c>
      <c r="I123" s="4">
        <v>1997</v>
      </c>
      <c r="J123">
        <f t="shared" si="123"/>
        <v>40</v>
      </c>
      <c r="K123">
        <f t="shared" si="123"/>
        <v>51</v>
      </c>
      <c r="L123">
        <f t="shared" si="123"/>
        <v>35</v>
      </c>
      <c r="M123">
        <f t="shared" si="123"/>
        <v>180</v>
      </c>
      <c r="N123">
        <f t="shared" si="123"/>
        <v>76</v>
      </c>
      <c r="O123">
        <f t="shared" si="123"/>
        <v>382</v>
      </c>
      <c r="Q123" s="4">
        <v>1997</v>
      </c>
      <c r="R123">
        <f t="shared" si="124"/>
        <v>7</v>
      </c>
      <c r="S123">
        <f t="shared" si="124"/>
        <v>0</v>
      </c>
      <c r="T123">
        <f t="shared" si="124"/>
        <v>8</v>
      </c>
      <c r="U123">
        <f t="shared" si="124"/>
        <v>5</v>
      </c>
      <c r="V123">
        <f t="shared" si="124"/>
        <v>14</v>
      </c>
      <c r="W123">
        <f t="shared" si="124"/>
        <v>34</v>
      </c>
      <c r="Y123" s="4">
        <v>1997</v>
      </c>
      <c r="Z123">
        <f t="shared" si="125"/>
        <v>1</v>
      </c>
      <c r="AA123">
        <f t="shared" si="125"/>
        <v>0</v>
      </c>
      <c r="AB123">
        <f t="shared" si="125"/>
        <v>1</v>
      </c>
      <c r="AC123">
        <f t="shared" si="125"/>
        <v>0</v>
      </c>
      <c r="AD123">
        <f t="shared" si="125"/>
        <v>1</v>
      </c>
      <c r="AE123">
        <f t="shared" si="125"/>
        <v>3</v>
      </c>
      <c r="AG123" s="4">
        <v>1997</v>
      </c>
      <c r="AH123">
        <f t="shared" si="126"/>
        <v>54</v>
      </c>
      <c r="AI123">
        <f t="shared" si="126"/>
        <v>61</v>
      </c>
      <c r="AJ123">
        <f t="shared" si="126"/>
        <v>59</v>
      </c>
      <c r="AK123">
        <f t="shared" si="126"/>
        <v>60</v>
      </c>
      <c r="AL123">
        <f t="shared" si="126"/>
        <v>143</v>
      </c>
      <c r="AM123">
        <f t="shared" si="126"/>
        <v>377</v>
      </c>
      <c r="AO123" s="4">
        <v>1997</v>
      </c>
      <c r="AP123">
        <f t="shared" si="127"/>
        <v>0</v>
      </c>
      <c r="AQ123">
        <f t="shared" si="127"/>
        <v>0</v>
      </c>
      <c r="AR123">
        <f t="shared" si="127"/>
        <v>0</v>
      </c>
      <c r="AS123">
        <f t="shared" si="127"/>
        <v>0</v>
      </c>
      <c r="AT123">
        <f t="shared" si="127"/>
        <v>0</v>
      </c>
      <c r="AU123">
        <f t="shared" si="127"/>
        <v>0</v>
      </c>
    </row>
    <row r="124" spans="1:47" ht="12.75">
      <c r="A124" s="4">
        <v>1998</v>
      </c>
      <c r="B124">
        <f t="shared" si="122"/>
        <v>88</v>
      </c>
      <c r="C124">
        <f t="shared" si="122"/>
        <v>139</v>
      </c>
      <c r="D124">
        <f t="shared" si="122"/>
        <v>170</v>
      </c>
      <c r="E124">
        <f t="shared" si="122"/>
        <v>116</v>
      </c>
      <c r="F124">
        <f t="shared" si="122"/>
        <v>194</v>
      </c>
      <c r="G124">
        <f t="shared" si="122"/>
        <v>707</v>
      </c>
      <c r="I124" s="4">
        <v>1998</v>
      </c>
      <c r="J124">
        <f t="shared" si="123"/>
        <v>63</v>
      </c>
      <c r="K124">
        <f t="shared" si="123"/>
        <v>77</v>
      </c>
      <c r="L124">
        <f t="shared" si="123"/>
        <v>66</v>
      </c>
      <c r="M124">
        <f t="shared" si="123"/>
        <v>173</v>
      </c>
      <c r="N124">
        <f t="shared" si="123"/>
        <v>89</v>
      </c>
      <c r="O124">
        <f t="shared" si="123"/>
        <v>468</v>
      </c>
      <c r="Q124" s="4">
        <v>1998</v>
      </c>
      <c r="R124">
        <f t="shared" si="124"/>
        <v>3</v>
      </c>
      <c r="S124">
        <f t="shared" si="124"/>
        <v>8</v>
      </c>
      <c r="T124">
        <f t="shared" si="124"/>
        <v>2</v>
      </c>
      <c r="U124">
        <f t="shared" si="124"/>
        <v>4</v>
      </c>
      <c r="V124">
        <f t="shared" si="124"/>
        <v>12</v>
      </c>
      <c r="W124">
        <f t="shared" si="124"/>
        <v>29</v>
      </c>
      <c r="Y124" s="4">
        <v>1998</v>
      </c>
      <c r="Z124">
        <f t="shared" si="125"/>
        <v>0</v>
      </c>
      <c r="AA124">
        <f t="shared" si="125"/>
        <v>1</v>
      </c>
      <c r="AB124">
        <f t="shared" si="125"/>
        <v>1</v>
      </c>
      <c r="AC124">
        <f t="shared" si="125"/>
        <v>0</v>
      </c>
      <c r="AD124">
        <f t="shared" si="125"/>
        <v>2</v>
      </c>
      <c r="AE124">
        <f t="shared" si="125"/>
        <v>4</v>
      </c>
      <c r="AG124" s="4">
        <v>1998</v>
      </c>
      <c r="AH124">
        <f t="shared" si="126"/>
        <v>72</v>
      </c>
      <c r="AI124">
        <f t="shared" si="126"/>
        <v>54</v>
      </c>
      <c r="AJ124">
        <f t="shared" si="126"/>
        <v>62</v>
      </c>
      <c r="AK124">
        <f t="shared" si="126"/>
        <v>79</v>
      </c>
      <c r="AL124">
        <f t="shared" si="126"/>
        <v>176</v>
      </c>
      <c r="AM124">
        <f t="shared" si="126"/>
        <v>443</v>
      </c>
      <c r="AO124" s="4">
        <v>1998</v>
      </c>
      <c r="AP124">
        <f t="shared" si="127"/>
        <v>0</v>
      </c>
      <c r="AQ124">
        <f t="shared" si="127"/>
        <v>0</v>
      </c>
      <c r="AR124">
        <f t="shared" si="127"/>
        <v>0</v>
      </c>
      <c r="AS124">
        <f t="shared" si="127"/>
        <v>0</v>
      </c>
      <c r="AT124">
        <f t="shared" si="127"/>
        <v>0</v>
      </c>
      <c r="AU124">
        <f t="shared" si="127"/>
        <v>0</v>
      </c>
    </row>
    <row r="125" spans="1:47" ht="12.75">
      <c r="A125" s="4">
        <v>1999</v>
      </c>
      <c r="B125">
        <f t="shared" si="122"/>
        <v>122</v>
      </c>
      <c r="C125">
        <f t="shared" si="122"/>
        <v>136</v>
      </c>
      <c r="D125">
        <f t="shared" si="122"/>
        <v>209</v>
      </c>
      <c r="E125">
        <f t="shared" si="122"/>
        <v>154</v>
      </c>
      <c r="F125">
        <f t="shared" si="122"/>
        <v>247</v>
      </c>
      <c r="G125">
        <f t="shared" si="122"/>
        <v>868</v>
      </c>
      <c r="I125" s="4">
        <v>1999</v>
      </c>
      <c r="J125">
        <f t="shared" si="123"/>
        <v>72</v>
      </c>
      <c r="K125">
        <f t="shared" si="123"/>
        <v>82</v>
      </c>
      <c r="L125">
        <f t="shared" si="123"/>
        <v>80</v>
      </c>
      <c r="M125">
        <f t="shared" si="123"/>
        <v>284</v>
      </c>
      <c r="N125">
        <f t="shared" si="123"/>
        <v>124</v>
      </c>
      <c r="O125">
        <f t="shared" si="123"/>
        <v>642</v>
      </c>
      <c r="Q125" s="4">
        <v>1999</v>
      </c>
      <c r="R125">
        <f t="shared" si="124"/>
        <v>9</v>
      </c>
      <c r="S125">
        <f t="shared" si="124"/>
        <v>8</v>
      </c>
      <c r="T125">
        <f t="shared" si="124"/>
        <v>6</v>
      </c>
      <c r="U125">
        <f t="shared" si="124"/>
        <v>7</v>
      </c>
      <c r="V125">
        <f t="shared" si="124"/>
        <v>16</v>
      </c>
      <c r="W125">
        <f t="shared" si="124"/>
        <v>46</v>
      </c>
      <c r="Y125" s="4">
        <v>1999</v>
      </c>
      <c r="Z125">
        <f t="shared" si="125"/>
        <v>0</v>
      </c>
      <c r="AA125">
        <f t="shared" si="125"/>
        <v>0</v>
      </c>
      <c r="AB125">
        <f t="shared" si="125"/>
        <v>1</v>
      </c>
      <c r="AC125">
        <f t="shared" si="125"/>
        <v>1</v>
      </c>
      <c r="AD125">
        <f t="shared" si="125"/>
        <v>2</v>
      </c>
      <c r="AE125">
        <f t="shared" si="125"/>
        <v>4</v>
      </c>
      <c r="AG125" s="4">
        <v>1999</v>
      </c>
      <c r="AH125">
        <f t="shared" si="126"/>
        <v>83</v>
      </c>
      <c r="AI125">
        <f t="shared" si="126"/>
        <v>90</v>
      </c>
      <c r="AJ125">
        <f t="shared" si="126"/>
        <v>94</v>
      </c>
      <c r="AK125">
        <f t="shared" si="126"/>
        <v>107</v>
      </c>
      <c r="AL125">
        <f t="shared" si="126"/>
        <v>209</v>
      </c>
      <c r="AM125">
        <f t="shared" si="126"/>
        <v>583</v>
      </c>
      <c r="AO125" s="4">
        <v>1999</v>
      </c>
      <c r="AP125">
        <f t="shared" si="127"/>
        <v>0</v>
      </c>
      <c r="AQ125">
        <f t="shared" si="127"/>
        <v>0</v>
      </c>
      <c r="AR125">
        <f t="shared" si="127"/>
        <v>0</v>
      </c>
      <c r="AS125">
        <f t="shared" si="127"/>
        <v>0</v>
      </c>
      <c r="AT125">
        <f t="shared" si="127"/>
        <v>0</v>
      </c>
      <c r="AU125">
        <f t="shared" si="127"/>
        <v>0</v>
      </c>
    </row>
    <row r="126" spans="1:47" ht="12.75">
      <c r="A126" s="4" t="s">
        <v>13</v>
      </c>
      <c r="B126">
        <f t="shared" si="122"/>
        <v>831</v>
      </c>
      <c r="C126">
        <f t="shared" si="122"/>
        <v>1365</v>
      </c>
      <c r="D126">
        <f t="shared" si="122"/>
        <v>1352</v>
      </c>
      <c r="E126">
        <f t="shared" si="122"/>
        <v>676</v>
      </c>
      <c r="F126">
        <f t="shared" si="122"/>
        <v>2215</v>
      </c>
      <c r="G126">
        <f t="shared" si="122"/>
        <v>6439</v>
      </c>
      <c r="I126" s="4" t="s">
        <v>13</v>
      </c>
      <c r="J126">
        <f t="shared" si="123"/>
        <v>519</v>
      </c>
      <c r="K126">
        <f t="shared" si="123"/>
        <v>779</v>
      </c>
      <c r="L126">
        <f t="shared" si="123"/>
        <v>543</v>
      </c>
      <c r="M126">
        <f t="shared" si="123"/>
        <v>1046</v>
      </c>
      <c r="N126">
        <f t="shared" si="123"/>
        <v>1174</v>
      </c>
      <c r="O126">
        <f t="shared" si="123"/>
        <v>4061</v>
      </c>
      <c r="Q126" s="4" t="s">
        <v>13</v>
      </c>
      <c r="R126">
        <f t="shared" si="124"/>
        <v>52</v>
      </c>
      <c r="S126">
        <f t="shared" si="124"/>
        <v>49</v>
      </c>
      <c r="T126">
        <f t="shared" si="124"/>
        <v>44</v>
      </c>
      <c r="U126">
        <f t="shared" si="124"/>
        <v>28</v>
      </c>
      <c r="V126">
        <f t="shared" si="124"/>
        <v>133</v>
      </c>
      <c r="W126">
        <f t="shared" si="124"/>
        <v>306</v>
      </c>
      <c r="Y126" s="4" t="s">
        <v>13</v>
      </c>
      <c r="Z126">
        <f t="shared" si="125"/>
        <v>3</v>
      </c>
      <c r="AA126">
        <f t="shared" si="125"/>
        <v>5</v>
      </c>
      <c r="AB126">
        <f t="shared" si="125"/>
        <v>7</v>
      </c>
      <c r="AC126">
        <f t="shared" si="125"/>
        <v>4</v>
      </c>
      <c r="AD126">
        <f t="shared" si="125"/>
        <v>6</v>
      </c>
      <c r="AE126">
        <f t="shared" si="125"/>
        <v>25</v>
      </c>
      <c r="AG126" s="4" t="s">
        <v>13</v>
      </c>
      <c r="AH126">
        <f t="shared" si="126"/>
        <v>693</v>
      </c>
      <c r="AI126">
        <f t="shared" si="126"/>
        <v>881</v>
      </c>
      <c r="AJ126">
        <f t="shared" si="126"/>
        <v>571</v>
      </c>
      <c r="AK126">
        <f t="shared" si="126"/>
        <v>439</v>
      </c>
      <c r="AL126">
        <f t="shared" si="126"/>
        <v>1550</v>
      </c>
      <c r="AM126">
        <f t="shared" si="126"/>
        <v>4134</v>
      </c>
      <c r="AO126" s="4" t="s">
        <v>13</v>
      </c>
      <c r="AP126">
        <f t="shared" si="127"/>
        <v>0</v>
      </c>
      <c r="AQ126">
        <f t="shared" si="127"/>
        <v>0</v>
      </c>
      <c r="AR126">
        <f t="shared" si="127"/>
        <v>0</v>
      </c>
      <c r="AS126">
        <f t="shared" si="127"/>
        <v>0</v>
      </c>
      <c r="AT126">
        <f t="shared" si="127"/>
        <v>0</v>
      </c>
      <c r="AU126">
        <f t="shared" si="127"/>
        <v>0</v>
      </c>
    </row>
    <row r="128" spans="1:41" ht="12.75">
      <c r="A128" s="4" t="s">
        <v>11</v>
      </c>
      <c r="I128" s="4" t="s">
        <v>12</v>
      </c>
      <c r="Q128" s="4" t="s">
        <v>28</v>
      </c>
      <c r="Y128" s="4" t="s">
        <v>29</v>
      </c>
      <c r="AG128" s="4" t="s">
        <v>26</v>
      </c>
      <c r="AO128" s="4" t="s">
        <v>27</v>
      </c>
    </row>
    <row r="129" spans="1:47" ht="12.75">
      <c r="A129" s="4" t="s">
        <v>10</v>
      </c>
      <c r="B129" s="12" t="s">
        <v>0</v>
      </c>
      <c r="C129" s="12" t="s">
        <v>5</v>
      </c>
      <c r="D129" s="12" t="s">
        <v>6</v>
      </c>
      <c r="E129" s="12" t="s">
        <v>1</v>
      </c>
      <c r="F129" s="12" t="s">
        <v>4</v>
      </c>
      <c r="G129" s="12" t="s">
        <v>13</v>
      </c>
      <c r="I129" s="4" t="s">
        <v>10</v>
      </c>
      <c r="J129" s="12" t="s">
        <v>0</v>
      </c>
      <c r="K129" s="12" t="s">
        <v>5</v>
      </c>
      <c r="L129" s="12" t="s">
        <v>6</v>
      </c>
      <c r="M129" s="12" t="s">
        <v>1</v>
      </c>
      <c r="N129" s="12" t="s">
        <v>4</v>
      </c>
      <c r="O129" s="12" t="s">
        <v>13</v>
      </c>
      <c r="Q129" s="4" t="s">
        <v>10</v>
      </c>
      <c r="R129" s="12" t="s">
        <v>0</v>
      </c>
      <c r="S129" s="12" t="s">
        <v>5</v>
      </c>
      <c r="T129" s="12" t="s">
        <v>6</v>
      </c>
      <c r="U129" s="12" t="s">
        <v>1</v>
      </c>
      <c r="V129" s="12" t="s">
        <v>4</v>
      </c>
      <c r="W129" s="12" t="s">
        <v>13</v>
      </c>
      <c r="Y129" s="4" t="s">
        <v>10</v>
      </c>
      <c r="Z129" s="12" t="s">
        <v>0</v>
      </c>
      <c r="AA129" s="12" t="s">
        <v>5</v>
      </c>
      <c r="AB129" s="12" t="s">
        <v>6</v>
      </c>
      <c r="AC129" s="12" t="s">
        <v>1</v>
      </c>
      <c r="AD129" s="12" t="s">
        <v>4</v>
      </c>
      <c r="AE129" s="12" t="s">
        <v>13</v>
      </c>
      <c r="AG129" s="4" t="s">
        <v>10</v>
      </c>
      <c r="AH129" s="12" t="s">
        <v>0</v>
      </c>
      <c r="AI129" s="12" t="s">
        <v>5</v>
      </c>
      <c r="AJ129" s="12" t="s">
        <v>6</v>
      </c>
      <c r="AK129" s="12" t="s">
        <v>1</v>
      </c>
      <c r="AL129" s="12" t="s">
        <v>4</v>
      </c>
      <c r="AM129" s="12" t="s">
        <v>13</v>
      </c>
      <c r="AO129" s="4" t="s">
        <v>10</v>
      </c>
      <c r="AP129" s="12" t="s">
        <v>0</v>
      </c>
      <c r="AQ129" s="12" t="s">
        <v>5</v>
      </c>
      <c r="AR129" s="12" t="s">
        <v>6</v>
      </c>
      <c r="AS129" s="12" t="s">
        <v>1</v>
      </c>
      <c r="AT129" s="12" t="s">
        <v>4</v>
      </c>
      <c r="AU129" s="12" t="s">
        <v>13</v>
      </c>
    </row>
    <row r="130" spans="1:47" ht="12.75">
      <c r="A130" s="4">
        <v>1983</v>
      </c>
      <c r="B130">
        <f aca="true" t="shared" si="128" ref="B130:G139">B4+B25+B46+B88</f>
        <v>320</v>
      </c>
      <c r="C130">
        <f t="shared" si="128"/>
        <v>348</v>
      </c>
      <c r="D130">
        <f t="shared" si="128"/>
        <v>182</v>
      </c>
      <c r="E130">
        <f t="shared" si="128"/>
        <v>55</v>
      </c>
      <c r="F130">
        <f t="shared" si="128"/>
        <v>166</v>
      </c>
      <c r="G130">
        <f t="shared" si="128"/>
        <v>1071</v>
      </c>
      <c r="I130" s="4">
        <v>1983</v>
      </c>
      <c r="J130">
        <f aca="true" t="shared" si="129" ref="J130:O130">J4+J25+J46+J88</f>
        <v>123</v>
      </c>
      <c r="K130">
        <f t="shared" si="129"/>
        <v>104</v>
      </c>
      <c r="L130">
        <f t="shared" si="129"/>
        <v>59</v>
      </c>
      <c r="M130">
        <f t="shared" si="129"/>
        <v>14</v>
      </c>
      <c r="N130">
        <f t="shared" si="129"/>
        <v>64</v>
      </c>
      <c r="O130">
        <f t="shared" si="129"/>
        <v>364</v>
      </c>
      <c r="Q130" s="4">
        <v>1983</v>
      </c>
      <c r="R130">
        <f aca="true" t="shared" si="130" ref="R130:W130">R4+R25+R46+R88</f>
        <v>7</v>
      </c>
      <c r="S130">
        <f t="shared" si="130"/>
        <v>9</v>
      </c>
      <c r="T130">
        <f t="shared" si="130"/>
        <v>1</v>
      </c>
      <c r="U130">
        <f t="shared" si="130"/>
        <v>0</v>
      </c>
      <c r="V130">
        <f t="shared" si="130"/>
        <v>4</v>
      </c>
      <c r="W130">
        <f t="shared" si="130"/>
        <v>21</v>
      </c>
      <c r="Y130" s="4">
        <v>1983</v>
      </c>
      <c r="Z130">
        <f aca="true" t="shared" si="131" ref="Z130:AE130">Z4+Z25+Z46+Z88</f>
        <v>1</v>
      </c>
      <c r="AA130">
        <f t="shared" si="131"/>
        <v>3</v>
      </c>
      <c r="AB130">
        <f t="shared" si="131"/>
        <v>0</v>
      </c>
      <c r="AC130">
        <f t="shared" si="131"/>
        <v>0</v>
      </c>
      <c r="AD130">
        <f t="shared" si="131"/>
        <v>0</v>
      </c>
      <c r="AE130">
        <f t="shared" si="131"/>
        <v>4</v>
      </c>
      <c r="AG130" s="4">
        <v>1983</v>
      </c>
      <c r="AH130">
        <f aca="true" t="shared" si="132" ref="AH130:AM130">AH4+AH25+AH46+AH88</f>
        <v>173</v>
      </c>
      <c r="AI130">
        <f t="shared" si="132"/>
        <v>150</v>
      </c>
      <c r="AJ130">
        <f t="shared" si="132"/>
        <v>59</v>
      </c>
      <c r="AK130">
        <f t="shared" si="132"/>
        <v>17</v>
      </c>
      <c r="AL130">
        <f t="shared" si="132"/>
        <v>77</v>
      </c>
      <c r="AM130">
        <f t="shared" si="132"/>
        <v>476</v>
      </c>
      <c r="AO130" s="4">
        <v>1983</v>
      </c>
      <c r="AP130">
        <f aca="true" t="shared" si="133" ref="AP130:AU130">AP4+AP25+AP46+AP88</f>
        <v>0</v>
      </c>
      <c r="AQ130">
        <f t="shared" si="133"/>
        <v>0</v>
      </c>
      <c r="AR130">
        <f t="shared" si="133"/>
        <v>0</v>
      </c>
      <c r="AS130">
        <f t="shared" si="133"/>
        <v>0</v>
      </c>
      <c r="AT130">
        <f t="shared" si="133"/>
        <v>0</v>
      </c>
      <c r="AU130">
        <f t="shared" si="133"/>
        <v>0</v>
      </c>
    </row>
    <row r="131" spans="1:47" ht="12.75">
      <c r="A131" s="4">
        <v>1984</v>
      </c>
      <c r="B131">
        <f t="shared" si="128"/>
        <v>257</v>
      </c>
      <c r="C131">
        <f t="shared" si="128"/>
        <v>323</v>
      </c>
      <c r="D131">
        <f t="shared" si="128"/>
        <v>229</v>
      </c>
      <c r="E131">
        <f t="shared" si="128"/>
        <v>41</v>
      </c>
      <c r="F131">
        <f t="shared" si="128"/>
        <v>169</v>
      </c>
      <c r="G131">
        <f t="shared" si="128"/>
        <v>1019</v>
      </c>
      <c r="I131" s="4">
        <v>1984</v>
      </c>
      <c r="J131">
        <f aca="true" t="shared" si="134" ref="J131:O131">J5+J26+J47+J89</f>
        <v>77</v>
      </c>
      <c r="K131">
        <f t="shared" si="134"/>
        <v>136</v>
      </c>
      <c r="L131">
        <f t="shared" si="134"/>
        <v>70</v>
      </c>
      <c r="M131">
        <f t="shared" si="134"/>
        <v>17</v>
      </c>
      <c r="N131">
        <f t="shared" si="134"/>
        <v>66</v>
      </c>
      <c r="O131">
        <f t="shared" si="134"/>
        <v>366</v>
      </c>
      <c r="Q131" s="4">
        <v>1984</v>
      </c>
      <c r="R131">
        <f aca="true" t="shared" si="135" ref="R131:W131">R5+R26+R47+R89</f>
        <v>10</v>
      </c>
      <c r="S131">
        <f t="shared" si="135"/>
        <v>9</v>
      </c>
      <c r="T131">
        <f t="shared" si="135"/>
        <v>2</v>
      </c>
      <c r="U131">
        <f t="shared" si="135"/>
        <v>0</v>
      </c>
      <c r="V131">
        <f t="shared" si="135"/>
        <v>5</v>
      </c>
      <c r="W131">
        <f t="shared" si="135"/>
        <v>26</v>
      </c>
      <c r="Y131" s="4">
        <v>1984</v>
      </c>
      <c r="Z131">
        <f aca="true" t="shared" si="136" ref="Z131:AE131">Z5+Z26+Z47+Z89</f>
        <v>3</v>
      </c>
      <c r="AA131">
        <f t="shared" si="136"/>
        <v>1</v>
      </c>
      <c r="AB131">
        <f t="shared" si="136"/>
        <v>1</v>
      </c>
      <c r="AC131">
        <f t="shared" si="136"/>
        <v>1</v>
      </c>
      <c r="AD131">
        <f t="shared" si="136"/>
        <v>0</v>
      </c>
      <c r="AE131">
        <f t="shared" si="136"/>
        <v>6</v>
      </c>
      <c r="AG131" s="4">
        <v>1984</v>
      </c>
      <c r="AH131">
        <f aca="true" t="shared" si="137" ref="AH131:AM131">AH5+AH26+AH47+AH89</f>
        <v>161</v>
      </c>
      <c r="AI131">
        <f t="shared" si="137"/>
        <v>178</v>
      </c>
      <c r="AJ131">
        <f t="shared" si="137"/>
        <v>66</v>
      </c>
      <c r="AK131">
        <f t="shared" si="137"/>
        <v>20</v>
      </c>
      <c r="AL131">
        <f t="shared" si="137"/>
        <v>87</v>
      </c>
      <c r="AM131">
        <f t="shared" si="137"/>
        <v>512</v>
      </c>
      <c r="AO131" s="4">
        <v>1984</v>
      </c>
      <c r="AP131">
        <f aca="true" t="shared" si="138" ref="AP131:AU131">AP5+AP26+AP47+AP89</f>
        <v>0</v>
      </c>
      <c r="AQ131">
        <f t="shared" si="138"/>
        <v>0</v>
      </c>
      <c r="AR131">
        <f t="shared" si="138"/>
        <v>0</v>
      </c>
      <c r="AS131">
        <f t="shared" si="138"/>
        <v>0</v>
      </c>
      <c r="AT131">
        <f t="shared" si="138"/>
        <v>0</v>
      </c>
      <c r="AU131">
        <f t="shared" si="138"/>
        <v>0</v>
      </c>
    </row>
    <row r="132" spans="1:47" ht="12.75">
      <c r="A132" s="4">
        <v>1985</v>
      </c>
      <c r="B132">
        <f t="shared" si="128"/>
        <v>302</v>
      </c>
      <c r="C132">
        <f t="shared" si="128"/>
        <v>333</v>
      </c>
      <c r="D132">
        <f t="shared" si="128"/>
        <v>266</v>
      </c>
      <c r="E132">
        <f t="shared" si="128"/>
        <v>77</v>
      </c>
      <c r="F132">
        <f t="shared" si="128"/>
        <v>218</v>
      </c>
      <c r="G132">
        <f t="shared" si="128"/>
        <v>1196</v>
      </c>
      <c r="I132" s="4">
        <v>1985</v>
      </c>
      <c r="J132">
        <f aca="true" t="shared" si="139" ref="J132:O132">J6+J27+J48+J90</f>
        <v>125</v>
      </c>
      <c r="K132">
        <f t="shared" si="139"/>
        <v>127</v>
      </c>
      <c r="L132">
        <f t="shared" si="139"/>
        <v>71</v>
      </c>
      <c r="M132">
        <f t="shared" si="139"/>
        <v>20</v>
      </c>
      <c r="N132">
        <f t="shared" si="139"/>
        <v>81</v>
      </c>
      <c r="O132">
        <f t="shared" si="139"/>
        <v>424</v>
      </c>
      <c r="Q132" s="4">
        <v>1985</v>
      </c>
      <c r="R132">
        <f aca="true" t="shared" si="140" ref="R132:W132">R6+R27+R48+R90</f>
        <v>8</v>
      </c>
      <c r="S132">
        <f t="shared" si="140"/>
        <v>12</v>
      </c>
      <c r="T132">
        <f t="shared" si="140"/>
        <v>3</v>
      </c>
      <c r="U132">
        <f t="shared" si="140"/>
        <v>1</v>
      </c>
      <c r="V132">
        <f t="shared" si="140"/>
        <v>6</v>
      </c>
      <c r="W132">
        <f t="shared" si="140"/>
        <v>30</v>
      </c>
      <c r="Y132" s="4">
        <v>1985</v>
      </c>
      <c r="Z132">
        <f aca="true" t="shared" si="141" ref="Z132:AE132">Z6+Z27+Z48+Z90</f>
        <v>4</v>
      </c>
      <c r="AA132">
        <f t="shared" si="141"/>
        <v>3</v>
      </c>
      <c r="AB132">
        <f t="shared" si="141"/>
        <v>1</v>
      </c>
      <c r="AC132">
        <f t="shared" si="141"/>
        <v>0</v>
      </c>
      <c r="AD132">
        <f t="shared" si="141"/>
        <v>0</v>
      </c>
      <c r="AE132">
        <f t="shared" si="141"/>
        <v>8</v>
      </c>
      <c r="AG132" s="4">
        <v>1985</v>
      </c>
      <c r="AH132">
        <f aca="true" t="shared" si="142" ref="AH132:AM132">AH6+AH27+AH48+AH90</f>
        <v>140</v>
      </c>
      <c r="AI132">
        <f t="shared" si="142"/>
        <v>160</v>
      </c>
      <c r="AJ132">
        <f t="shared" si="142"/>
        <v>84</v>
      </c>
      <c r="AK132">
        <f t="shared" si="142"/>
        <v>25</v>
      </c>
      <c r="AL132">
        <f t="shared" si="142"/>
        <v>103</v>
      </c>
      <c r="AM132">
        <f t="shared" si="142"/>
        <v>512</v>
      </c>
      <c r="AO132" s="4">
        <v>1985</v>
      </c>
      <c r="AP132">
        <f aca="true" t="shared" si="143" ref="AP132:AU132">AP6+AP27+AP48+AP90</f>
        <v>0</v>
      </c>
      <c r="AQ132">
        <f t="shared" si="143"/>
        <v>0</v>
      </c>
      <c r="AR132">
        <f t="shared" si="143"/>
        <v>0</v>
      </c>
      <c r="AS132">
        <f t="shared" si="143"/>
        <v>0</v>
      </c>
      <c r="AT132">
        <f t="shared" si="143"/>
        <v>0</v>
      </c>
      <c r="AU132">
        <f t="shared" si="143"/>
        <v>0</v>
      </c>
    </row>
    <row r="133" spans="1:47" ht="12.75">
      <c r="A133" s="4">
        <v>1986</v>
      </c>
      <c r="B133">
        <f t="shared" si="128"/>
        <v>379</v>
      </c>
      <c r="C133">
        <f t="shared" si="128"/>
        <v>349</v>
      </c>
      <c r="D133">
        <f t="shared" si="128"/>
        <v>275</v>
      </c>
      <c r="E133">
        <f t="shared" si="128"/>
        <v>99</v>
      </c>
      <c r="F133">
        <f t="shared" si="128"/>
        <v>270</v>
      </c>
      <c r="G133">
        <f t="shared" si="128"/>
        <v>1372</v>
      </c>
      <c r="I133" s="4">
        <v>1986</v>
      </c>
      <c r="J133">
        <f aca="true" t="shared" si="144" ref="J133:O133">J7+J28+J49+J91</f>
        <v>120</v>
      </c>
      <c r="K133">
        <f t="shared" si="144"/>
        <v>159</v>
      </c>
      <c r="L133">
        <f t="shared" si="144"/>
        <v>106</v>
      </c>
      <c r="M133">
        <f t="shared" si="144"/>
        <v>24</v>
      </c>
      <c r="N133">
        <f t="shared" si="144"/>
        <v>107</v>
      </c>
      <c r="O133">
        <f t="shared" si="144"/>
        <v>516</v>
      </c>
      <c r="Q133" s="4">
        <v>1986</v>
      </c>
      <c r="R133">
        <f aca="true" t="shared" si="145" ref="R133:W133">R7+R28+R49+R91</f>
        <v>4</v>
      </c>
      <c r="S133">
        <f t="shared" si="145"/>
        <v>10</v>
      </c>
      <c r="T133">
        <f t="shared" si="145"/>
        <v>3</v>
      </c>
      <c r="U133">
        <f t="shared" si="145"/>
        <v>2</v>
      </c>
      <c r="V133">
        <f t="shared" si="145"/>
        <v>2</v>
      </c>
      <c r="W133">
        <f t="shared" si="145"/>
        <v>21</v>
      </c>
      <c r="Y133" s="4">
        <v>1986</v>
      </c>
      <c r="Z133">
        <f aca="true" t="shared" si="146" ref="Z133:AE133">Z7+Z28+Z49+Z91</f>
        <v>1</v>
      </c>
      <c r="AA133">
        <f t="shared" si="146"/>
        <v>1</v>
      </c>
      <c r="AB133">
        <f t="shared" si="146"/>
        <v>0</v>
      </c>
      <c r="AC133">
        <f t="shared" si="146"/>
        <v>1</v>
      </c>
      <c r="AD133">
        <f t="shared" si="146"/>
        <v>0</v>
      </c>
      <c r="AE133">
        <f t="shared" si="146"/>
        <v>3</v>
      </c>
      <c r="AG133" s="4">
        <v>1986</v>
      </c>
      <c r="AH133">
        <f aca="true" t="shared" si="147" ref="AH133:AM133">AH7+AH28+AH49+AH91</f>
        <v>186</v>
      </c>
      <c r="AI133">
        <f t="shared" si="147"/>
        <v>192</v>
      </c>
      <c r="AJ133">
        <f t="shared" si="147"/>
        <v>71</v>
      </c>
      <c r="AK133">
        <f t="shared" si="147"/>
        <v>27</v>
      </c>
      <c r="AL133">
        <f t="shared" si="147"/>
        <v>138</v>
      </c>
      <c r="AM133">
        <f t="shared" si="147"/>
        <v>614</v>
      </c>
      <c r="AO133" s="4">
        <v>1986</v>
      </c>
      <c r="AP133">
        <f aca="true" t="shared" si="148" ref="AP133:AU133">AP7+AP28+AP49+AP91</f>
        <v>0</v>
      </c>
      <c r="AQ133">
        <f t="shared" si="148"/>
        <v>0</v>
      </c>
      <c r="AR133">
        <f t="shared" si="148"/>
        <v>0</v>
      </c>
      <c r="AS133">
        <f t="shared" si="148"/>
        <v>0</v>
      </c>
      <c r="AT133">
        <f t="shared" si="148"/>
        <v>0</v>
      </c>
      <c r="AU133">
        <f t="shared" si="148"/>
        <v>0</v>
      </c>
    </row>
    <row r="134" spans="1:47" ht="12.75">
      <c r="A134" s="4">
        <v>1987</v>
      </c>
      <c r="B134">
        <f t="shared" si="128"/>
        <v>379</v>
      </c>
      <c r="C134">
        <f t="shared" si="128"/>
        <v>398</v>
      </c>
      <c r="D134">
        <f t="shared" si="128"/>
        <v>319</v>
      </c>
      <c r="E134">
        <f t="shared" si="128"/>
        <v>129</v>
      </c>
      <c r="F134">
        <f t="shared" si="128"/>
        <v>344</v>
      </c>
      <c r="G134">
        <f t="shared" si="128"/>
        <v>1569</v>
      </c>
      <c r="I134" s="4">
        <v>1987</v>
      </c>
      <c r="J134">
        <f aca="true" t="shared" si="149" ref="J134:O134">J8+J29+J50+J92</f>
        <v>154</v>
      </c>
      <c r="K134">
        <f t="shared" si="149"/>
        <v>201</v>
      </c>
      <c r="L134">
        <f t="shared" si="149"/>
        <v>106</v>
      </c>
      <c r="M134">
        <f t="shared" si="149"/>
        <v>43</v>
      </c>
      <c r="N134">
        <f t="shared" si="149"/>
        <v>115</v>
      </c>
      <c r="O134">
        <f t="shared" si="149"/>
        <v>619</v>
      </c>
      <c r="Q134" s="4">
        <v>1987</v>
      </c>
      <c r="R134">
        <f aca="true" t="shared" si="150" ref="R134:W134">R8+R29+R50+R92</f>
        <v>13</v>
      </c>
      <c r="S134">
        <f t="shared" si="150"/>
        <v>5</v>
      </c>
      <c r="T134">
        <f t="shared" si="150"/>
        <v>7</v>
      </c>
      <c r="U134">
        <f t="shared" si="150"/>
        <v>0</v>
      </c>
      <c r="V134">
        <f t="shared" si="150"/>
        <v>7</v>
      </c>
      <c r="W134">
        <f t="shared" si="150"/>
        <v>32</v>
      </c>
      <c r="Y134" s="4">
        <v>1987</v>
      </c>
      <c r="Z134">
        <f aca="true" t="shared" si="151" ref="Z134:AE134">Z8+Z29+Z50+Z92</f>
        <v>3</v>
      </c>
      <c r="AA134">
        <f t="shared" si="151"/>
        <v>0</v>
      </c>
      <c r="AB134">
        <f t="shared" si="151"/>
        <v>1</v>
      </c>
      <c r="AC134">
        <f t="shared" si="151"/>
        <v>0</v>
      </c>
      <c r="AD134">
        <f t="shared" si="151"/>
        <v>1</v>
      </c>
      <c r="AE134">
        <f t="shared" si="151"/>
        <v>5</v>
      </c>
      <c r="AG134" s="4">
        <v>1987</v>
      </c>
      <c r="AH134">
        <f aca="true" t="shared" si="152" ref="AH134:AM134">AH8+AH29+AH50+AH92</f>
        <v>217</v>
      </c>
      <c r="AI134">
        <f t="shared" si="152"/>
        <v>193</v>
      </c>
      <c r="AJ134">
        <f t="shared" si="152"/>
        <v>115</v>
      </c>
      <c r="AK134">
        <f t="shared" si="152"/>
        <v>44</v>
      </c>
      <c r="AL134">
        <f t="shared" si="152"/>
        <v>174</v>
      </c>
      <c r="AM134">
        <f t="shared" si="152"/>
        <v>743</v>
      </c>
      <c r="AO134" s="4">
        <v>1987</v>
      </c>
      <c r="AP134">
        <f aca="true" t="shared" si="153" ref="AP134:AU134">AP8+AP29+AP50+AP92</f>
        <v>0</v>
      </c>
      <c r="AQ134">
        <f t="shared" si="153"/>
        <v>0</v>
      </c>
      <c r="AR134">
        <f t="shared" si="153"/>
        <v>0</v>
      </c>
      <c r="AS134">
        <f t="shared" si="153"/>
        <v>0</v>
      </c>
      <c r="AT134">
        <f t="shared" si="153"/>
        <v>0</v>
      </c>
      <c r="AU134">
        <f t="shared" si="153"/>
        <v>0</v>
      </c>
    </row>
    <row r="135" spans="1:47" ht="12.75">
      <c r="A135" s="4">
        <v>1988</v>
      </c>
      <c r="B135">
        <f t="shared" si="128"/>
        <v>291</v>
      </c>
      <c r="C135">
        <f t="shared" si="128"/>
        <v>309</v>
      </c>
      <c r="D135">
        <f t="shared" si="128"/>
        <v>260</v>
      </c>
      <c r="E135">
        <f t="shared" si="128"/>
        <v>124</v>
      </c>
      <c r="F135">
        <f t="shared" si="128"/>
        <v>318</v>
      </c>
      <c r="G135">
        <f t="shared" si="128"/>
        <v>1302</v>
      </c>
      <c r="I135" s="4">
        <v>1988</v>
      </c>
      <c r="J135">
        <f aca="true" t="shared" si="154" ref="J135:O135">J9+J30+J51+J93</f>
        <v>130</v>
      </c>
      <c r="K135">
        <f t="shared" si="154"/>
        <v>149</v>
      </c>
      <c r="L135">
        <f t="shared" si="154"/>
        <v>96</v>
      </c>
      <c r="M135">
        <f t="shared" si="154"/>
        <v>72</v>
      </c>
      <c r="N135">
        <f t="shared" si="154"/>
        <v>118</v>
      </c>
      <c r="O135">
        <f t="shared" si="154"/>
        <v>565</v>
      </c>
      <c r="Q135" s="4">
        <v>1988</v>
      </c>
      <c r="R135">
        <f aca="true" t="shared" si="155" ref="R135:W135">R9+R30+R51+R93</f>
        <v>11</v>
      </c>
      <c r="S135">
        <f t="shared" si="155"/>
        <v>7</v>
      </c>
      <c r="T135">
        <f t="shared" si="155"/>
        <v>4</v>
      </c>
      <c r="U135">
        <f t="shared" si="155"/>
        <v>1</v>
      </c>
      <c r="V135">
        <f t="shared" si="155"/>
        <v>5</v>
      </c>
      <c r="W135">
        <f t="shared" si="155"/>
        <v>28</v>
      </c>
      <c r="Y135" s="4">
        <v>1988</v>
      </c>
      <c r="Z135">
        <f aca="true" t="shared" si="156" ref="Z135:AE135">Z9+Z30+Z51+Z93</f>
        <v>3</v>
      </c>
      <c r="AA135">
        <f t="shared" si="156"/>
        <v>2</v>
      </c>
      <c r="AB135">
        <f t="shared" si="156"/>
        <v>0</v>
      </c>
      <c r="AC135">
        <f t="shared" si="156"/>
        <v>0</v>
      </c>
      <c r="AD135">
        <f t="shared" si="156"/>
        <v>1</v>
      </c>
      <c r="AE135">
        <f t="shared" si="156"/>
        <v>6</v>
      </c>
      <c r="AG135" s="4">
        <v>1988</v>
      </c>
      <c r="AH135">
        <f aca="true" t="shared" si="157" ref="AH135:AM135">AH9+AH30+AH51+AH93</f>
        <v>179</v>
      </c>
      <c r="AI135">
        <f t="shared" si="157"/>
        <v>173</v>
      </c>
      <c r="AJ135">
        <f t="shared" si="157"/>
        <v>82</v>
      </c>
      <c r="AK135">
        <f t="shared" si="157"/>
        <v>73</v>
      </c>
      <c r="AL135">
        <f t="shared" si="157"/>
        <v>150</v>
      </c>
      <c r="AM135">
        <f t="shared" si="157"/>
        <v>657</v>
      </c>
      <c r="AO135" s="4">
        <v>1988</v>
      </c>
      <c r="AP135">
        <f aca="true" t="shared" si="158" ref="AP135:AU135">AP9+AP30+AP51+AP93</f>
        <v>0</v>
      </c>
      <c r="AQ135">
        <f t="shared" si="158"/>
        <v>0</v>
      </c>
      <c r="AR135">
        <f t="shared" si="158"/>
        <v>0</v>
      </c>
      <c r="AS135">
        <f t="shared" si="158"/>
        <v>0</v>
      </c>
      <c r="AT135">
        <f t="shared" si="158"/>
        <v>0</v>
      </c>
      <c r="AU135">
        <f t="shared" si="158"/>
        <v>0</v>
      </c>
    </row>
    <row r="136" spans="1:47" ht="12.75">
      <c r="A136" s="4">
        <v>1989</v>
      </c>
      <c r="B136">
        <f t="shared" si="128"/>
        <v>343</v>
      </c>
      <c r="C136">
        <f t="shared" si="128"/>
        <v>365</v>
      </c>
      <c r="D136">
        <f t="shared" si="128"/>
        <v>319</v>
      </c>
      <c r="E136">
        <f t="shared" si="128"/>
        <v>205</v>
      </c>
      <c r="F136">
        <f t="shared" si="128"/>
        <v>382</v>
      </c>
      <c r="G136">
        <f t="shared" si="128"/>
        <v>1614</v>
      </c>
      <c r="I136" s="4">
        <v>1989</v>
      </c>
      <c r="J136">
        <f aca="true" t="shared" si="159" ref="J136:O136">J10+J31+J52+J94</f>
        <v>176</v>
      </c>
      <c r="K136">
        <f t="shared" si="159"/>
        <v>194</v>
      </c>
      <c r="L136">
        <f t="shared" si="159"/>
        <v>108</v>
      </c>
      <c r="M136">
        <f t="shared" si="159"/>
        <v>142</v>
      </c>
      <c r="N136">
        <f t="shared" si="159"/>
        <v>144</v>
      </c>
      <c r="O136">
        <f t="shared" si="159"/>
        <v>764</v>
      </c>
      <c r="Q136" s="4">
        <v>1989</v>
      </c>
      <c r="R136">
        <f aca="true" t="shared" si="160" ref="R136:W136">R10+R31+R52+R94</f>
        <v>8</v>
      </c>
      <c r="S136">
        <f t="shared" si="160"/>
        <v>9</v>
      </c>
      <c r="T136">
        <f t="shared" si="160"/>
        <v>6</v>
      </c>
      <c r="U136">
        <f t="shared" si="160"/>
        <v>1</v>
      </c>
      <c r="V136">
        <f t="shared" si="160"/>
        <v>9</v>
      </c>
      <c r="W136">
        <f t="shared" si="160"/>
        <v>33</v>
      </c>
      <c r="Y136" s="4">
        <v>1989</v>
      </c>
      <c r="Z136">
        <f aca="true" t="shared" si="161" ref="Z136:AE136">Z10+Z31+Z52+Z94</f>
        <v>4</v>
      </c>
      <c r="AA136">
        <f t="shared" si="161"/>
        <v>3</v>
      </c>
      <c r="AB136">
        <f t="shared" si="161"/>
        <v>0</v>
      </c>
      <c r="AC136">
        <f t="shared" si="161"/>
        <v>4</v>
      </c>
      <c r="AD136">
        <f t="shared" si="161"/>
        <v>2</v>
      </c>
      <c r="AE136">
        <f t="shared" si="161"/>
        <v>13</v>
      </c>
      <c r="AG136" s="4">
        <v>1989</v>
      </c>
      <c r="AH136">
        <f aca="true" t="shared" si="162" ref="AH136:AM136">AH10+AH31+AH52+AH94</f>
        <v>193</v>
      </c>
      <c r="AI136">
        <f t="shared" si="162"/>
        <v>221</v>
      </c>
      <c r="AJ136">
        <f t="shared" si="162"/>
        <v>94</v>
      </c>
      <c r="AK136">
        <f t="shared" si="162"/>
        <v>104</v>
      </c>
      <c r="AL136">
        <f t="shared" si="162"/>
        <v>176</v>
      </c>
      <c r="AM136">
        <f t="shared" si="162"/>
        <v>788</v>
      </c>
      <c r="AO136" s="4">
        <v>1989</v>
      </c>
      <c r="AP136">
        <f aca="true" t="shared" si="163" ref="AP136:AU136">AP10+AP31+AP52+AP94</f>
        <v>0</v>
      </c>
      <c r="AQ136">
        <f t="shared" si="163"/>
        <v>0</v>
      </c>
      <c r="AR136">
        <f t="shared" si="163"/>
        <v>0</v>
      </c>
      <c r="AS136">
        <f t="shared" si="163"/>
        <v>0</v>
      </c>
      <c r="AT136">
        <f t="shared" si="163"/>
        <v>0</v>
      </c>
      <c r="AU136">
        <f t="shared" si="163"/>
        <v>0</v>
      </c>
    </row>
    <row r="137" spans="1:47" ht="12.75">
      <c r="A137" s="4">
        <v>1990</v>
      </c>
      <c r="B137">
        <f t="shared" si="128"/>
        <v>332</v>
      </c>
      <c r="C137">
        <f t="shared" si="128"/>
        <v>293</v>
      </c>
      <c r="D137">
        <f t="shared" si="128"/>
        <v>263</v>
      </c>
      <c r="E137">
        <f t="shared" si="128"/>
        <v>168</v>
      </c>
      <c r="F137">
        <f t="shared" si="128"/>
        <v>399</v>
      </c>
      <c r="G137">
        <f t="shared" si="128"/>
        <v>1455</v>
      </c>
      <c r="I137" s="4">
        <v>1990</v>
      </c>
      <c r="J137">
        <f aca="true" t="shared" si="164" ref="J137:O137">J11+J32+J53+J95</f>
        <v>131</v>
      </c>
      <c r="K137">
        <f t="shared" si="164"/>
        <v>149</v>
      </c>
      <c r="L137">
        <f t="shared" si="164"/>
        <v>115</v>
      </c>
      <c r="M137">
        <f t="shared" si="164"/>
        <v>141</v>
      </c>
      <c r="N137">
        <f t="shared" si="164"/>
        <v>148</v>
      </c>
      <c r="O137">
        <f t="shared" si="164"/>
        <v>684</v>
      </c>
      <c r="Q137" s="4">
        <v>1990</v>
      </c>
      <c r="R137">
        <f aca="true" t="shared" si="165" ref="R137:W137">R11+R32+R53+R95</f>
        <v>7</v>
      </c>
      <c r="S137">
        <f t="shared" si="165"/>
        <v>6</v>
      </c>
      <c r="T137">
        <f t="shared" si="165"/>
        <v>6</v>
      </c>
      <c r="U137">
        <f t="shared" si="165"/>
        <v>2</v>
      </c>
      <c r="V137">
        <f t="shared" si="165"/>
        <v>9</v>
      </c>
      <c r="W137">
        <f t="shared" si="165"/>
        <v>30</v>
      </c>
      <c r="Y137" s="4">
        <v>1990</v>
      </c>
      <c r="Z137">
        <f aca="true" t="shared" si="166" ref="Z137:AE137">Z11+Z32+Z53+Z95</f>
        <v>0</v>
      </c>
      <c r="AA137">
        <f t="shared" si="166"/>
        <v>0</v>
      </c>
      <c r="AB137">
        <f t="shared" si="166"/>
        <v>1</v>
      </c>
      <c r="AC137">
        <f t="shared" si="166"/>
        <v>0</v>
      </c>
      <c r="AD137">
        <f t="shared" si="166"/>
        <v>4</v>
      </c>
      <c r="AE137">
        <f t="shared" si="166"/>
        <v>5</v>
      </c>
      <c r="AG137" s="4">
        <v>1990</v>
      </c>
      <c r="AH137">
        <f aca="true" t="shared" si="167" ref="AH137:AM137">AH11+AH32+AH53+AH95</f>
        <v>173</v>
      </c>
      <c r="AI137">
        <f t="shared" si="167"/>
        <v>158</v>
      </c>
      <c r="AJ137">
        <f t="shared" si="167"/>
        <v>97</v>
      </c>
      <c r="AK137">
        <f t="shared" si="167"/>
        <v>139</v>
      </c>
      <c r="AL137">
        <f t="shared" si="167"/>
        <v>211</v>
      </c>
      <c r="AM137">
        <f t="shared" si="167"/>
        <v>778</v>
      </c>
      <c r="AO137" s="4">
        <v>1990</v>
      </c>
      <c r="AP137">
        <f aca="true" t="shared" si="168" ref="AP137:AU137">AP11+AP32+AP53+AP95</f>
        <v>0</v>
      </c>
      <c r="AQ137">
        <f t="shared" si="168"/>
        <v>0</v>
      </c>
      <c r="AR137">
        <f t="shared" si="168"/>
        <v>0</v>
      </c>
      <c r="AS137">
        <f t="shared" si="168"/>
        <v>0</v>
      </c>
      <c r="AT137">
        <f t="shared" si="168"/>
        <v>0</v>
      </c>
      <c r="AU137">
        <f t="shared" si="168"/>
        <v>0</v>
      </c>
    </row>
    <row r="138" spans="1:47" ht="12.75">
      <c r="A138" s="4">
        <v>1991</v>
      </c>
      <c r="B138">
        <f t="shared" si="128"/>
        <v>322</v>
      </c>
      <c r="C138">
        <f t="shared" si="128"/>
        <v>241</v>
      </c>
      <c r="D138">
        <f t="shared" si="128"/>
        <v>302</v>
      </c>
      <c r="E138">
        <f t="shared" si="128"/>
        <v>163</v>
      </c>
      <c r="F138">
        <f t="shared" si="128"/>
        <v>362</v>
      </c>
      <c r="G138">
        <f t="shared" si="128"/>
        <v>1390</v>
      </c>
      <c r="I138" s="4">
        <v>1991</v>
      </c>
      <c r="J138">
        <f aca="true" t="shared" si="169" ref="J138:O138">J12+J33+J54+J96</f>
        <v>160</v>
      </c>
      <c r="K138">
        <f t="shared" si="169"/>
        <v>153</v>
      </c>
      <c r="L138">
        <f t="shared" si="169"/>
        <v>120</v>
      </c>
      <c r="M138">
        <f t="shared" si="169"/>
        <v>124</v>
      </c>
      <c r="N138">
        <f t="shared" si="169"/>
        <v>153</v>
      </c>
      <c r="O138">
        <f t="shared" si="169"/>
        <v>710</v>
      </c>
      <c r="Q138" s="4">
        <v>1991</v>
      </c>
      <c r="R138">
        <f aca="true" t="shared" si="170" ref="R138:W138">R12+R33+R54+R96</f>
        <v>19</v>
      </c>
      <c r="S138">
        <f t="shared" si="170"/>
        <v>13</v>
      </c>
      <c r="T138">
        <f t="shared" si="170"/>
        <v>4</v>
      </c>
      <c r="U138">
        <f t="shared" si="170"/>
        <v>3</v>
      </c>
      <c r="V138">
        <f t="shared" si="170"/>
        <v>14</v>
      </c>
      <c r="W138">
        <f t="shared" si="170"/>
        <v>53</v>
      </c>
      <c r="Y138" s="4">
        <v>1991</v>
      </c>
      <c r="Z138">
        <f aca="true" t="shared" si="171" ref="Z138:AE138">Z12+Z33+Z54+Z96</f>
        <v>5</v>
      </c>
      <c r="AA138">
        <f t="shared" si="171"/>
        <v>4</v>
      </c>
      <c r="AB138">
        <f t="shared" si="171"/>
        <v>3</v>
      </c>
      <c r="AC138">
        <f t="shared" si="171"/>
        <v>1</v>
      </c>
      <c r="AD138">
        <f t="shared" si="171"/>
        <v>3</v>
      </c>
      <c r="AE138">
        <f t="shared" si="171"/>
        <v>16</v>
      </c>
      <c r="AG138" s="4">
        <v>1991</v>
      </c>
      <c r="AH138">
        <f aca="true" t="shared" si="172" ref="AH138:AM138">AH12+AH33+AH54+AH96</f>
        <v>209</v>
      </c>
      <c r="AI138">
        <f t="shared" si="172"/>
        <v>162</v>
      </c>
      <c r="AJ138">
        <f t="shared" si="172"/>
        <v>93</v>
      </c>
      <c r="AK138">
        <f t="shared" si="172"/>
        <v>131</v>
      </c>
      <c r="AL138">
        <f t="shared" si="172"/>
        <v>190</v>
      </c>
      <c r="AM138">
        <f t="shared" si="172"/>
        <v>785</v>
      </c>
      <c r="AO138" s="4">
        <v>1991</v>
      </c>
      <c r="AP138">
        <f aca="true" t="shared" si="173" ref="AP138:AU138">AP12+AP33+AP54+AP96</f>
        <v>0</v>
      </c>
      <c r="AQ138">
        <f t="shared" si="173"/>
        <v>0</v>
      </c>
      <c r="AR138">
        <f t="shared" si="173"/>
        <v>0</v>
      </c>
      <c r="AS138">
        <f t="shared" si="173"/>
        <v>0</v>
      </c>
      <c r="AT138">
        <f t="shared" si="173"/>
        <v>0</v>
      </c>
      <c r="AU138">
        <f t="shared" si="173"/>
        <v>0</v>
      </c>
    </row>
    <row r="139" spans="1:47" ht="12.75">
      <c r="A139" s="4">
        <v>1992</v>
      </c>
      <c r="B139">
        <f t="shared" si="128"/>
        <v>281</v>
      </c>
      <c r="C139">
        <f t="shared" si="128"/>
        <v>266</v>
      </c>
      <c r="D139">
        <f t="shared" si="128"/>
        <v>362</v>
      </c>
      <c r="E139">
        <f t="shared" si="128"/>
        <v>176</v>
      </c>
      <c r="F139">
        <f t="shared" si="128"/>
        <v>628</v>
      </c>
      <c r="G139">
        <f t="shared" si="128"/>
        <v>1713</v>
      </c>
      <c r="I139" s="4">
        <v>1992</v>
      </c>
      <c r="J139">
        <f aca="true" t="shared" si="174" ref="J139:O139">J13+J34+J55+J97</f>
        <v>143</v>
      </c>
      <c r="K139">
        <f t="shared" si="174"/>
        <v>102</v>
      </c>
      <c r="L139">
        <f t="shared" si="174"/>
        <v>109</v>
      </c>
      <c r="M139">
        <f t="shared" si="174"/>
        <v>205</v>
      </c>
      <c r="N139">
        <f t="shared" si="174"/>
        <v>297</v>
      </c>
      <c r="O139">
        <f t="shared" si="174"/>
        <v>856</v>
      </c>
      <c r="Q139" s="4">
        <v>1992</v>
      </c>
      <c r="R139">
        <f aca="true" t="shared" si="175" ref="R139:W139">R13+R34+R55+R97</f>
        <v>16</v>
      </c>
      <c r="S139">
        <f t="shared" si="175"/>
        <v>11</v>
      </c>
      <c r="T139">
        <f t="shared" si="175"/>
        <v>7</v>
      </c>
      <c r="U139">
        <f t="shared" si="175"/>
        <v>9</v>
      </c>
      <c r="V139">
        <f t="shared" si="175"/>
        <v>41</v>
      </c>
      <c r="W139">
        <f t="shared" si="175"/>
        <v>84</v>
      </c>
      <c r="Y139" s="4">
        <v>1992</v>
      </c>
      <c r="Z139">
        <f aca="true" t="shared" si="176" ref="Z139:AE139">Z13+Z34+Z55+Z97</f>
        <v>1</v>
      </c>
      <c r="AA139">
        <f t="shared" si="176"/>
        <v>1</v>
      </c>
      <c r="AB139">
        <f t="shared" si="176"/>
        <v>3</v>
      </c>
      <c r="AC139">
        <f t="shared" si="176"/>
        <v>1</v>
      </c>
      <c r="AD139">
        <f t="shared" si="176"/>
        <v>5</v>
      </c>
      <c r="AE139">
        <f t="shared" si="176"/>
        <v>11</v>
      </c>
      <c r="AG139" s="4">
        <v>1992</v>
      </c>
      <c r="AH139">
        <f aca="true" t="shared" si="177" ref="AH139:AM139">AH13+AH34+AH55+AH97</f>
        <v>168</v>
      </c>
      <c r="AI139">
        <f t="shared" si="177"/>
        <v>135</v>
      </c>
      <c r="AJ139">
        <f t="shared" si="177"/>
        <v>120</v>
      </c>
      <c r="AK139">
        <f t="shared" si="177"/>
        <v>151</v>
      </c>
      <c r="AL139">
        <f t="shared" si="177"/>
        <v>363</v>
      </c>
      <c r="AM139">
        <f t="shared" si="177"/>
        <v>937</v>
      </c>
      <c r="AO139" s="4">
        <v>1992</v>
      </c>
      <c r="AP139">
        <f aca="true" t="shared" si="178" ref="AP139:AU139">AP13+AP34+AP55+AP97</f>
        <v>0</v>
      </c>
      <c r="AQ139">
        <f t="shared" si="178"/>
        <v>0</v>
      </c>
      <c r="AR139">
        <f t="shared" si="178"/>
        <v>0</v>
      </c>
      <c r="AS139">
        <f t="shared" si="178"/>
        <v>0</v>
      </c>
      <c r="AT139">
        <f t="shared" si="178"/>
        <v>0</v>
      </c>
      <c r="AU139">
        <f t="shared" si="178"/>
        <v>0</v>
      </c>
    </row>
    <row r="140" spans="1:47" ht="12.75">
      <c r="A140" s="4">
        <v>1993</v>
      </c>
      <c r="B140">
        <f aca="true" t="shared" si="179" ref="B140:G145">B14+B35+B56+B98</f>
        <v>323</v>
      </c>
      <c r="C140">
        <f t="shared" si="179"/>
        <v>240</v>
      </c>
      <c r="D140">
        <f t="shared" si="179"/>
        <v>344</v>
      </c>
      <c r="E140">
        <f t="shared" si="179"/>
        <v>190</v>
      </c>
      <c r="F140">
        <f t="shared" si="179"/>
        <v>648</v>
      </c>
      <c r="G140">
        <f t="shared" si="179"/>
        <v>1745</v>
      </c>
      <c r="I140" s="4">
        <v>1993</v>
      </c>
      <c r="J140">
        <f aca="true" t="shared" si="180" ref="J140:O140">J14+J35+J56+J98</f>
        <v>154</v>
      </c>
      <c r="K140">
        <f t="shared" si="180"/>
        <v>113</v>
      </c>
      <c r="L140">
        <f t="shared" si="180"/>
        <v>104</v>
      </c>
      <c r="M140">
        <f t="shared" si="180"/>
        <v>238</v>
      </c>
      <c r="N140">
        <f t="shared" si="180"/>
        <v>346</v>
      </c>
      <c r="O140">
        <f t="shared" si="180"/>
        <v>955</v>
      </c>
      <c r="Q140" s="4">
        <v>1993</v>
      </c>
      <c r="R140">
        <f aca="true" t="shared" si="181" ref="R140:W140">R14+R35+R56+R98</f>
        <v>19</v>
      </c>
      <c r="S140">
        <f t="shared" si="181"/>
        <v>12</v>
      </c>
      <c r="T140">
        <f t="shared" si="181"/>
        <v>19</v>
      </c>
      <c r="U140">
        <f t="shared" si="181"/>
        <v>3</v>
      </c>
      <c r="V140">
        <f t="shared" si="181"/>
        <v>46</v>
      </c>
      <c r="W140">
        <f t="shared" si="181"/>
        <v>99</v>
      </c>
      <c r="Y140" s="4">
        <v>1993</v>
      </c>
      <c r="Z140">
        <f aca="true" t="shared" si="182" ref="Z140:AE140">Z14+Z35+Z56+Z98</f>
        <v>5</v>
      </c>
      <c r="AA140">
        <f t="shared" si="182"/>
        <v>7</v>
      </c>
      <c r="AB140">
        <f t="shared" si="182"/>
        <v>1</v>
      </c>
      <c r="AC140">
        <f t="shared" si="182"/>
        <v>0</v>
      </c>
      <c r="AD140">
        <f t="shared" si="182"/>
        <v>0</v>
      </c>
      <c r="AE140">
        <f t="shared" si="182"/>
        <v>13</v>
      </c>
      <c r="AG140" s="4">
        <v>1993</v>
      </c>
      <c r="AH140">
        <f aca="true" t="shared" si="183" ref="AH140:AM140">AH14+AH35+AH56+AH98</f>
        <v>186</v>
      </c>
      <c r="AI140">
        <f t="shared" si="183"/>
        <v>151</v>
      </c>
      <c r="AJ140">
        <f t="shared" si="183"/>
        <v>117</v>
      </c>
      <c r="AK140">
        <f t="shared" si="183"/>
        <v>148</v>
      </c>
      <c r="AL140">
        <f t="shared" si="183"/>
        <v>383</v>
      </c>
      <c r="AM140">
        <f t="shared" si="183"/>
        <v>985</v>
      </c>
      <c r="AO140" s="4">
        <v>1993</v>
      </c>
      <c r="AP140">
        <f aca="true" t="shared" si="184" ref="AP140:AU140">AP14+AP35+AP56+AP98</f>
        <v>0</v>
      </c>
      <c r="AQ140">
        <f t="shared" si="184"/>
        <v>0</v>
      </c>
      <c r="AR140">
        <f t="shared" si="184"/>
        <v>0</v>
      </c>
      <c r="AS140">
        <f t="shared" si="184"/>
        <v>0</v>
      </c>
      <c r="AT140">
        <f t="shared" si="184"/>
        <v>0</v>
      </c>
      <c r="AU140">
        <f t="shared" si="184"/>
        <v>0</v>
      </c>
    </row>
    <row r="141" spans="1:47" ht="12.75">
      <c r="A141" s="4">
        <v>1994</v>
      </c>
      <c r="B141">
        <f t="shared" si="179"/>
        <v>312</v>
      </c>
      <c r="C141">
        <f t="shared" si="179"/>
        <v>216</v>
      </c>
      <c r="D141">
        <f t="shared" si="179"/>
        <v>318</v>
      </c>
      <c r="E141">
        <f t="shared" si="179"/>
        <v>201</v>
      </c>
      <c r="F141">
        <f t="shared" si="179"/>
        <v>675</v>
      </c>
      <c r="G141">
        <f t="shared" si="179"/>
        <v>1722</v>
      </c>
      <c r="I141" s="4">
        <v>1994</v>
      </c>
      <c r="J141">
        <f aca="true" t="shared" si="185" ref="J141:O141">J15+J36+J57+J99</f>
        <v>163</v>
      </c>
      <c r="K141">
        <f t="shared" si="185"/>
        <v>128</v>
      </c>
      <c r="L141">
        <f t="shared" si="185"/>
        <v>123</v>
      </c>
      <c r="M141">
        <f t="shared" si="185"/>
        <v>289</v>
      </c>
      <c r="N141">
        <f t="shared" si="185"/>
        <v>340</v>
      </c>
      <c r="O141">
        <f t="shared" si="185"/>
        <v>1043</v>
      </c>
      <c r="Q141" s="4">
        <v>1994</v>
      </c>
      <c r="R141">
        <f aca="true" t="shared" si="186" ref="R141:W141">R15+R36+R57+R99</f>
        <v>19</v>
      </c>
      <c r="S141">
        <f t="shared" si="186"/>
        <v>12</v>
      </c>
      <c r="T141">
        <f t="shared" si="186"/>
        <v>19</v>
      </c>
      <c r="U141">
        <f t="shared" si="186"/>
        <v>7</v>
      </c>
      <c r="V141">
        <f t="shared" si="186"/>
        <v>46</v>
      </c>
      <c r="W141">
        <f t="shared" si="186"/>
        <v>103</v>
      </c>
      <c r="Y141" s="4">
        <v>1994</v>
      </c>
      <c r="Z141">
        <f aca="true" t="shared" si="187" ref="Z141:AE141">Z15+Z36+Z57+Z99</f>
        <v>7</v>
      </c>
      <c r="AA141">
        <f t="shared" si="187"/>
        <v>2</v>
      </c>
      <c r="AB141">
        <f t="shared" si="187"/>
        <v>5</v>
      </c>
      <c r="AC141">
        <f t="shared" si="187"/>
        <v>2</v>
      </c>
      <c r="AD141">
        <f t="shared" si="187"/>
        <v>5</v>
      </c>
      <c r="AE141">
        <f t="shared" si="187"/>
        <v>21</v>
      </c>
      <c r="AG141" s="4">
        <v>1994</v>
      </c>
      <c r="AH141">
        <f aca="true" t="shared" si="188" ref="AH141:AM141">AH15+AH36+AH57+AH99</f>
        <v>247</v>
      </c>
      <c r="AI141">
        <f t="shared" si="188"/>
        <v>120</v>
      </c>
      <c r="AJ141">
        <f t="shared" si="188"/>
        <v>116</v>
      </c>
      <c r="AK141">
        <f t="shared" si="188"/>
        <v>208</v>
      </c>
      <c r="AL141">
        <f t="shared" si="188"/>
        <v>419</v>
      </c>
      <c r="AM141">
        <f t="shared" si="188"/>
        <v>1110</v>
      </c>
      <c r="AO141" s="4">
        <v>1994</v>
      </c>
      <c r="AP141">
        <f aca="true" t="shared" si="189" ref="AP141:AU141">AP15+AP36+AP57+AP99</f>
        <v>0</v>
      </c>
      <c r="AQ141">
        <f t="shared" si="189"/>
        <v>0</v>
      </c>
      <c r="AR141">
        <f t="shared" si="189"/>
        <v>0</v>
      </c>
      <c r="AS141">
        <f t="shared" si="189"/>
        <v>0</v>
      </c>
      <c r="AT141">
        <f t="shared" si="189"/>
        <v>0</v>
      </c>
      <c r="AU141">
        <f t="shared" si="189"/>
        <v>0</v>
      </c>
    </row>
    <row r="142" spans="1:47" ht="12.75">
      <c r="A142" s="4">
        <v>1995</v>
      </c>
      <c r="B142">
        <f t="shared" si="179"/>
        <v>344</v>
      </c>
      <c r="C142">
        <f t="shared" si="179"/>
        <v>245</v>
      </c>
      <c r="D142">
        <f t="shared" si="179"/>
        <v>349</v>
      </c>
      <c r="E142">
        <f t="shared" si="179"/>
        <v>230</v>
      </c>
      <c r="F142">
        <f t="shared" si="179"/>
        <v>721</v>
      </c>
      <c r="G142">
        <f t="shared" si="179"/>
        <v>1889</v>
      </c>
      <c r="I142" s="4">
        <v>1995</v>
      </c>
      <c r="J142">
        <f aca="true" t="shared" si="190" ref="J142:O142">J16+J37+J58+J100</f>
        <v>191</v>
      </c>
      <c r="K142">
        <f t="shared" si="190"/>
        <v>144</v>
      </c>
      <c r="L142">
        <f t="shared" si="190"/>
        <v>119</v>
      </c>
      <c r="M142">
        <f t="shared" si="190"/>
        <v>333</v>
      </c>
      <c r="N142">
        <f t="shared" si="190"/>
        <v>343</v>
      </c>
      <c r="O142">
        <f t="shared" si="190"/>
        <v>1130</v>
      </c>
      <c r="Q142" s="4">
        <v>1995</v>
      </c>
      <c r="R142">
        <f aca="true" t="shared" si="191" ref="R142:W142">R16+R37+R58+R100</f>
        <v>27</v>
      </c>
      <c r="S142">
        <f t="shared" si="191"/>
        <v>17</v>
      </c>
      <c r="T142">
        <f t="shared" si="191"/>
        <v>5</v>
      </c>
      <c r="U142">
        <f t="shared" si="191"/>
        <v>11</v>
      </c>
      <c r="V142">
        <f t="shared" si="191"/>
        <v>47</v>
      </c>
      <c r="W142">
        <f t="shared" si="191"/>
        <v>107</v>
      </c>
      <c r="Y142" s="4">
        <v>1995</v>
      </c>
      <c r="Z142">
        <f aca="true" t="shared" si="192" ref="Z142:AE142">Z16+Z37+Z58+Z100</f>
        <v>11</v>
      </c>
      <c r="AA142">
        <f t="shared" si="192"/>
        <v>3</v>
      </c>
      <c r="AB142">
        <f t="shared" si="192"/>
        <v>2</v>
      </c>
      <c r="AC142">
        <f t="shared" si="192"/>
        <v>3</v>
      </c>
      <c r="AD142">
        <f t="shared" si="192"/>
        <v>3</v>
      </c>
      <c r="AE142">
        <f t="shared" si="192"/>
        <v>22</v>
      </c>
      <c r="AG142" s="4">
        <v>1995</v>
      </c>
      <c r="AH142">
        <f aca="true" t="shared" si="193" ref="AH142:AM142">AH16+AH37+AH58+AH100</f>
        <v>274</v>
      </c>
      <c r="AI142">
        <f t="shared" si="193"/>
        <v>141</v>
      </c>
      <c r="AJ142">
        <f t="shared" si="193"/>
        <v>109</v>
      </c>
      <c r="AK142">
        <f t="shared" si="193"/>
        <v>334</v>
      </c>
      <c r="AL142">
        <f t="shared" si="193"/>
        <v>460</v>
      </c>
      <c r="AM142">
        <f t="shared" si="193"/>
        <v>1318</v>
      </c>
      <c r="AO142" s="4">
        <v>1995</v>
      </c>
      <c r="AP142">
        <f aca="true" t="shared" si="194" ref="AP142:AU142">AP16+AP37+AP58+AP100</f>
        <v>0</v>
      </c>
      <c r="AQ142">
        <f t="shared" si="194"/>
        <v>0</v>
      </c>
      <c r="AR142">
        <f t="shared" si="194"/>
        <v>0</v>
      </c>
      <c r="AS142">
        <f t="shared" si="194"/>
        <v>0</v>
      </c>
      <c r="AT142">
        <f t="shared" si="194"/>
        <v>0</v>
      </c>
      <c r="AU142">
        <f t="shared" si="194"/>
        <v>0</v>
      </c>
    </row>
    <row r="143" spans="1:47" ht="12.75">
      <c r="A143" s="4">
        <v>1996</v>
      </c>
      <c r="B143">
        <f t="shared" si="179"/>
        <v>443</v>
      </c>
      <c r="C143">
        <f t="shared" si="179"/>
        <v>337</v>
      </c>
      <c r="D143">
        <f t="shared" si="179"/>
        <v>408</v>
      </c>
      <c r="E143">
        <f t="shared" si="179"/>
        <v>332</v>
      </c>
      <c r="F143">
        <f t="shared" si="179"/>
        <v>616</v>
      </c>
      <c r="G143">
        <f t="shared" si="179"/>
        <v>2136</v>
      </c>
      <c r="I143" s="4">
        <v>1996</v>
      </c>
      <c r="J143">
        <f aca="true" t="shared" si="195" ref="J143:O143">J17+J38+J59+J101</f>
        <v>222</v>
      </c>
      <c r="K143">
        <f t="shared" si="195"/>
        <v>158</v>
      </c>
      <c r="L143">
        <f t="shared" si="195"/>
        <v>139</v>
      </c>
      <c r="M143">
        <f t="shared" si="195"/>
        <v>412</v>
      </c>
      <c r="N143">
        <f t="shared" si="195"/>
        <v>255</v>
      </c>
      <c r="O143">
        <f t="shared" si="195"/>
        <v>1186</v>
      </c>
      <c r="Q143" s="4">
        <v>1996</v>
      </c>
      <c r="R143">
        <f aca="true" t="shared" si="196" ref="R143:W143">R17+R38+R59+R101</f>
        <v>35</v>
      </c>
      <c r="S143">
        <f t="shared" si="196"/>
        <v>11</v>
      </c>
      <c r="T143">
        <f t="shared" si="196"/>
        <v>14</v>
      </c>
      <c r="U143">
        <f t="shared" si="196"/>
        <v>15</v>
      </c>
      <c r="V143">
        <f t="shared" si="196"/>
        <v>36</v>
      </c>
      <c r="W143">
        <f t="shared" si="196"/>
        <v>111</v>
      </c>
      <c r="Y143" s="4">
        <v>1996</v>
      </c>
      <c r="Z143">
        <f aca="true" t="shared" si="197" ref="Z143:AE143">Z17+Z38+Z59+Z101</f>
        <v>5</v>
      </c>
      <c r="AA143">
        <f t="shared" si="197"/>
        <v>5</v>
      </c>
      <c r="AB143">
        <f t="shared" si="197"/>
        <v>3</v>
      </c>
      <c r="AC143">
        <f t="shared" si="197"/>
        <v>3</v>
      </c>
      <c r="AD143">
        <f t="shared" si="197"/>
        <v>5</v>
      </c>
      <c r="AE143">
        <f t="shared" si="197"/>
        <v>21</v>
      </c>
      <c r="AG143" s="4">
        <v>1996</v>
      </c>
      <c r="AH143">
        <f aca="true" t="shared" si="198" ref="AH143:AM143">AH17+AH38+AH59+AH101</f>
        <v>345</v>
      </c>
      <c r="AI143">
        <f t="shared" si="198"/>
        <v>196</v>
      </c>
      <c r="AJ143">
        <f t="shared" si="198"/>
        <v>146</v>
      </c>
      <c r="AK143">
        <f t="shared" si="198"/>
        <v>441</v>
      </c>
      <c r="AL143">
        <f t="shared" si="198"/>
        <v>443</v>
      </c>
      <c r="AM143">
        <f t="shared" si="198"/>
        <v>1571</v>
      </c>
      <c r="AO143" s="4">
        <v>1996</v>
      </c>
      <c r="AP143">
        <f aca="true" t="shared" si="199" ref="AP143:AU143">AP17+AP38+AP59+AP101</f>
        <v>0</v>
      </c>
      <c r="AQ143">
        <f t="shared" si="199"/>
        <v>0</v>
      </c>
      <c r="AR143">
        <f t="shared" si="199"/>
        <v>0</v>
      </c>
      <c r="AS143">
        <f t="shared" si="199"/>
        <v>0</v>
      </c>
      <c r="AT143">
        <f t="shared" si="199"/>
        <v>0</v>
      </c>
      <c r="AU143">
        <f t="shared" si="199"/>
        <v>0</v>
      </c>
    </row>
    <row r="144" spans="1:47" ht="12.75">
      <c r="A144" s="4">
        <v>1997</v>
      </c>
      <c r="B144">
        <f t="shared" si="179"/>
        <v>455</v>
      </c>
      <c r="C144">
        <f t="shared" si="179"/>
        <v>339</v>
      </c>
      <c r="D144">
        <f t="shared" si="179"/>
        <v>528</v>
      </c>
      <c r="E144">
        <f t="shared" si="179"/>
        <v>402</v>
      </c>
      <c r="F144">
        <f t="shared" si="179"/>
        <v>544</v>
      </c>
      <c r="G144">
        <f t="shared" si="179"/>
        <v>2268</v>
      </c>
      <c r="I144" s="4">
        <v>1997</v>
      </c>
      <c r="J144">
        <f aca="true" t="shared" si="200" ref="J144:O144">J18+J39+J60+J102</f>
        <v>172</v>
      </c>
      <c r="K144">
        <f t="shared" si="200"/>
        <v>162</v>
      </c>
      <c r="L144">
        <f t="shared" si="200"/>
        <v>158</v>
      </c>
      <c r="M144">
        <f t="shared" si="200"/>
        <v>591</v>
      </c>
      <c r="N144">
        <f t="shared" si="200"/>
        <v>173</v>
      </c>
      <c r="O144">
        <f t="shared" si="200"/>
        <v>1256</v>
      </c>
      <c r="Q144" s="4">
        <v>1997</v>
      </c>
      <c r="R144">
        <f aca="true" t="shared" si="201" ref="R144:W144">R18+R39+R60+R102</f>
        <v>29</v>
      </c>
      <c r="S144">
        <f t="shared" si="201"/>
        <v>11</v>
      </c>
      <c r="T144">
        <f t="shared" si="201"/>
        <v>19</v>
      </c>
      <c r="U144">
        <f t="shared" si="201"/>
        <v>14</v>
      </c>
      <c r="V144">
        <f t="shared" si="201"/>
        <v>35</v>
      </c>
      <c r="W144">
        <f t="shared" si="201"/>
        <v>108</v>
      </c>
      <c r="Y144" s="4">
        <v>1997</v>
      </c>
      <c r="Z144">
        <f aca="true" t="shared" si="202" ref="Z144:AE144">Z18+Z39+Z60+Z102</f>
        <v>6</v>
      </c>
      <c r="AA144">
        <f t="shared" si="202"/>
        <v>3</v>
      </c>
      <c r="AB144">
        <f t="shared" si="202"/>
        <v>7</v>
      </c>
      <c r="AC144">
        <f t="shared" si="202"/>
        <v>2</v>
      </c>
      <c r="AD144">
        <f t="shared" si="202"/>
        <v>7</v>
      </c>
      <c r="AE144">
        <f t="shared" si="202"/>
        <v>25</v>
      </c>
      <c r="AG144" s="4">
        <v>1997</v>
      </c>
      <c r="AH144">
        <f aca="true" t="shared" si="203" ref="AH144:AM144">AH18+AH39+AH60+AH102</f>
        <v>323</v>
      </c>
      <c r="AI144">
        <f t="shared" si="203"/>
        <v>221</v>
      </c>
      <c r="AJ144">
        <f t="shared" si="203"/>
        <v>188</v>
      </c>
      <c r="AK144">
        <f t="shared" si="203"/>
        <v>389</v>
      </c>
      <c r="AL144">
        <f t="shared" si="203"/>
        <v>445</v>
      </c>
      <c r="AM144">
        <f t="shared" si="203"/>
        <v>1566</v>
      </c>
      <c r="AO144" s="4">
        <v>1997</v>
      </c>
      <c r="AP144">
        <f aca="true" t="shared" si="204" ref="AP144:AU144">AP18+AP39+AP60+AP102</f>
        <v>0</v>
      </c>
      <c r="AQ144">
        <f t="shared" si="204"/>
        <v>0</v>
      </c>
      <c r="AR144">
        <f t="shared" si="204"/>
        <v>0</v>
      </c>
      <c r="AS144">
        <f t="shared" si="204"/>
        <v>0</v>
      </c>
      <c r="AT144">
        <f t="shared" si="204"/>
        <v>0</v>
      </c>
      <c r="AU144">
        <f t="shared" si="204"/>
        <v>0</v>
      </c>
    </row>
    <row r="145" spans="1:47" ht="12.75">
      <c r="A145" s="4">
        <v>1998</v>
      </c>
      <c r="B145">
        <f t="shared" si="179"/>
        <v>535</v>
      </c>
      <c r="C145">
        <f t="shared" si="179"/>
        <v>428</v>
      </c>
      <c r="D145">
        <f t="shared" si="179"/>
        <v>570</v>
      </c>
      <c r="E145">
        <f t="shared" si="179"/>
        <v>541</v>
      </c>
      <c r="F145">
        <f t="shared" si="179"/>
        <v>604</v>
      </c>
      <c r="G145">
        <f t="shared" si="179"/>
        <v>2678</v>
      </c>
      <c r="I145" s="4">
        <v>1998</v>
      </c>
      <c r="J145">
        <f aca="true" t="shared" si="205" ref="J145:O145">J19+J40+J61+J103</f>
        <v>211</v>
      </c>
      <c r="K145">
        <f t="shared" si="205"/>
        <v>175</v>
      </c>
      <c r="L145">
        <f t="shared" si="205"/>
        <v>171</v>
      </c>
      <c r="M145">
        <f t="shared" si="205"/>
        <v>539</v>
      </c>
      <c r="N145">
        <f t="shared" si="205"/>
        <v>173</v>
      </c>
      <c r="O145">
        <f t="shared" si="205"/>
        <v>1269</v>
      </c>
      <c r="Q145" s="4">
        <v>1998</v>
      </c>
      <c r="R145">
        <f aca="true" t="shared" si="206" ref="R145:W145">R19+R40+R61+R103</f>
        <v>21</v>
      </c>
      <c r="S145">
        <f t="shared" si="206"/>
        <v>17</v>
      </c>
      <c r="T145">
        <f t="shared" si="206"/>
        <v>9</v>
      </c>
      <c r="U145">
        <f t="shared" si="206"/>
        <v>17</v>
      </c>
      <c r="V145">
        <f t="shared" si="206"/>
        <v>33</v>
      </c>
      <c r="W145">
        <f t="shared" si="206"/>
        <v>97</v>
      </c>
      <c r="Y145" s="4">
        <v>1998</v>
      </c>
      <c r="Z145">
        <f aca="true" t="shared" si="207" ref="Z145:AE145">Z19+Z40+Z61+Z103</f>
        <v>6</v>
      </c>
      <c r="AA145">
        <f t="shared" si="207"/>
        <v>7</v>
      </c>
      <c r="AB145">
        <f t="shared" si="207"/>
        <v>7</v>
      </c>
      <c r="AC145">
        <f t="shared" si="207"/>
        <v>2</v>
      </c>
      <c r="AD145">
        <f t="shared" si="207"/>
        <v>6</v>
      </c>
      <c r="AE145">
        <f t="shared" si="207"/>
        <v>28</v>
      </c>
      <c r="AG145" s="4">
        <v>1998</v>
      </c>
      <c r="AH145">
        <f aca="true" t="shared" si="208" ref="AH145:AM145">AH19+AH40+AH61+AH103</f>
        <v>337</v>
      </c>
      <c r="AI145">
        <f t="shared" si="208"/>
        <v>217</v>
      </c>
      <c r="AJ145">
        <f t="shared" si="208"/>
        <v>191</v>
      </c>
      <c r="AK145">
        <f t="shared" si="208"/>
        <v>472</v>
      </c>
      <c r="AL145">
        <f t="shared" si="208"/>
        <v>462</v>
      </c>
      <c r="AM145">
        <f t="shared" si="208"/>
        <v>1679</v>
      </c>
      <c r="AO145" s="4">
        <v>1998</v>
      </c>
      <c r="AP145">
        <f aca="true" t="shared" si="209" ref="AP145:AU145">AP19+AP40+AP61+AP103</f>
        <v>0</v>
      </c>
      <c r="AQ145">
        <f t="shared" si="209"/>
        <v>0</v>
      </c>
      <c r="AR145">
        <f t="shared" si="209"/>
        <v>0</v>
      </c>
      <c r="AS145">
        <f t="shared" si="209"/>
        <v>0</v>
      </c>
      <c r="AT145">
        <f t="shared" si="209"/>
        <v>0</v>
      </c>
      <c r="AU145">
        <f t="shared" si="209"/>
        <v>0</v>
      </c>
    </row>
    <row r="146" spans="1:47" ht="12.75">
      <c r="A146" s="4">
        <v>1999</v>
      </c>
      <c r="B146">
        <f aca="true" t="shared" si="210" ref="B146:G146">B20+B41+B62+B104</f>
        <v>503</v>
      </c>
      <c r="C146">
        <f t="shared" si="210"/>
        <v>385</v>
      </c>
      <c r="D146">
        <f t="shared" si="210"/>
        <v>568</v>
      </c>
      <c r="E146">
        <f t="shared" si="210"/>
        <v>524</v>
      </c>
      <c r="F146">
        <f t="shared" si="210"/>
        <v>668</v>
      </c>
      <c r="G146">
        <f t="shared" si="210"/>
        <v>2648</v>
      </c>
      <c r="I146" s="4">
        <v>1999</v>
      </c>
      <c r="J146">
        <f aca="true" t="shared" si="211" ref="J146:O146">J20+J41+J62+J104</f>
        <v>201</v>
      </c>
      <c r="K146">
        <f t="shared" si="211"/>
        <v>169</v>
      </c>
      <c r="L146">
        <f t="shared" si="211"/>
        <v>162</v>
      </c>
      <c r="M146">
        <f t="shared" si="211"/>
        <v>609</v>
      </c>
      <c r="N146">
        <f t="shared" si="211"/>
        <v>212</v>
      </c>
      <c r="O146">
        <f t="shared" si="211"/>
        <v>1353</v>
      </c>
      <c r="Q146" s="4">
        <v>1999</v>
      </c>
      <c r="R146">
        <f aca="true" t="shared" si="212" ref="R146:W146">R20+R41+R62+R104</f>
        <v>38</v>
      </c>
      <c r="S146">
        <f t="shared" si="212"/>
        <v>19</v>
      </c>
      <c r="T146">
        <f t="shared" si="212"/>
        <v>17</v>
      </c>
      <c r="U146">
        <f t="shared" si="212"/>
        <v>22</v>
      </c>
      <c r="V146">
        <f t="shared" si="212"/>
        <v>31</v>
      </c>
      <c r="W146">
        <f t="shared" si="212"/>
        <v>127</v>
      </c>
      <c r="Y146" s="4">
        <v>1999</v>
      </c>
      <c r="Z146">
        <f aca="true" t="shared" si="213" ref="Z146:AE146">Z20+Z41+Z62+Z104</f>
        <v>8</v>
      </c>
      <c r="AA146">
        <f t="shared" si="213"/>
        <v>11</v>
      </c>
      <c r="AB146">
        <f t="shared" si="213"/>
        <v>5</v>
      </c>
      <c r="AC146">
        <f t="shared" si="213"/>
        <v>5</v>
      </c>
      <c r="AD146">
        <f t="shared" si="213"/>
        <v>7</v>
      </c>
      <c r="AE146">
        <f t="shared" si="213"/>
        <v>36</v>
      </c>
      <c r="AG146" s="4">
        <v>1999</v>
      </c>
      <c r="AH146">
        <f aca="true" t="shared" si="214" ref="AH146:AM146">AH20+AH41+AH62+AH104</f>
        <v>368</v>
      </c>
      <c r="AI146">
        <f t="shared" si="214"/>
        <v>234</v>
      </c>
      <c r="AJ146">
        <f t="shared" si="214"/>
        <v>204</v>
      </c>
      <c r="AK146">
        <f t="shared" si="214"/>
        <v>444</v>
      </c>
      <c r="AL146">
        <f t="shared" si="214"/>
        <v>473</v>
      </c>
      <c r="AM146">
        <f t="shared" si="214"/>
        <v>1723</v>
      </c>
      <c r="AO146" s="4">
        <v>1999</v>
      </c>
      <c r="AP146">
        <f aca="true" t="shared" si="215" ref="AP146:AU146">AP20+AP41+AP62+AP104</f>
        <v>0</v>
      </c>
      <c r="AQ146">
        <f t="shared" si="215"/>
        <v>0</v>
      </c>
      <c r="AR146">
        <f t="shared" si="215"/>
        <v>0</v>
      </c>
      <c r="AS146">
        <f t="shared" si="215"/>
        <v>0</v>
      </c>
      <c r="AT146">
        <f t="shared" si="215"/>
        <v>0</v>
      </c>
      <c r="AU146">
        <f t="shared" si="215"/>
        <v>0</v>
      </c>
    </row>
    <row r="147" spans="1:47" ht="12.75">
      <c r="A147" s="4" t="s">
        <v>13</v>
      </c>
      <c r="B147">
        <f aca="true" t="shared" si="216" ref="B147:G147">B21+B42+B63+B105</f>
        <v>6121</v>
      </c>
      <c r="C147">
        <f t="shared" si="216"/>
        <v>5415</v>
      </c>
      <c r="D147">
        <f t="shared" si="216"/>
        <v>5862</v>
      </c>
      <c r="E147">
        <f t="shared" si="216"/>
        <v>3657</v>
      </c>
      <c r="F147">
        <f t="shared" si="216"/>
        <v>7732</v>
      </c>
      <c r="G147">
        <f t="shared" si="216"/>
        <v>28787</v>
      </c>
      <c r="I147" s="4" t="s">
        <v>13</v>
      </c>
      <c r="J147">
        <f aca="true" t="shared" si="217" ref="J147:O147">J21+J42+J63+J105</f>
        <v>2653</v>
      </c>
      <c r="K147">
        <f t="shared" si="217"/>
        <v>2523</v>
      </c>
      <c r="L147">
        <f t="shared" si="217"/>
        <v>1936</v>
      </c>
      <c r="M147">
        <f t="shared" si="217"/>
        <v>3813</v>
      </c>
      <c r="N147">
        <f t="shared" si="217"/>
        <v>3135</v>
      </c>
      <c r="O147">
        <f t="shared" si="217"/>
        <v>14060</v>
      </c>
      <c r="Q147" s="4" t="s">
        <v>13</v>
      </c>
      <c r="R147">
        <f aca="true" t="shared" si="218" ref="R147:W147">R21+R42+R63+R105</f>
        <v>291</v>
      </c>
      <c r="S147">
        <f t="shared" si="218"/>
        <v>190</v>
      </c>
      <c r="T147">
        <f t="shared" si="218"/>
        <v>145</v>
      </c>
      <c r="U147">
        <f t="shared" si="218"/>
        <v>108</v>
      </c>
      <c r="V147">
        <f t="shared" si="218"/>
        <v>376</v>
      </c>
      <c r="W147">
        <f t="shared" si="218"/>
        <v>1110</v>
      </c>
      <c r="Y147" s="4" t="s">
        <v>13</v>
      </c>
      <c r="Z147">
        <f aca="true" t="shared" si="219" ref="Z147:AE147">Z21+Z42+Z63+Z105</f>
        <v>73</v>
      </c>
      <c r="AA147">
        <f t="shared" si="219"/>
        <v>56</v>
      </c>
      <c r="AB147">
        <f t="shared" si="219"/>
        <v>40</v>
      </c>
      <c r="AC147">
        <f t="shared" si="219"/>
        <v>25</v>
      </c>
      <c r="AD147">
        <f t="shared" si="219"/>
        <v>49</v>
      </c>
      <c r="AE147">
        <f t="shared" si="219"/>
        <v>243</v>
      </c>
      <c r="AG147" s="4" t="s">
        <v>13</v>
      </c>
      <c r="AH147">
        <f aca="true" t="shared" si="220" ref="AH147:AM147">AH21+AH42+AH63+AH105</f>
        <v>3879</v>
      </c>
      <c r="AI147">
        <f t="shared" si="220"/>
        <v>3002</v>
      </c>
      <c r="AJ147">
        <f t="shared" si="220"/>
        <v>1952</v>
      </c>
      <c r="AK147">
        <f t="shared" si="220"/>
        <v>3167</v>
      </c>
      <c r="AL147">
        <f t="shared" si="220"/>
        <v>4754</v>
      </c>
      <c r="AM147">
        <f t="shared" si="220"/>
        <v>16754</v>
      </c>
      <c r="AO147" s="4" t="s">
        <v>13</v>
      </c>
      <c r="AP147">
        <f aca="true" t="shared" si="221" ref="AP147:AU147">AP21+AP42+AP63+AP105</f>
        <v>0</v>
      </c>
      <c r="AQ147">
        <f t="shared" si="221"/>
        <v>0</v>
      </c>
      <c r="AR147">
        <f t="shared" si="221"/>
        <v>0</v>
      </c>
      <c r="AS147">
        <f t="shared" si="221"/>
        <v>0</v>
      </c>
      <c r="AT147">
        <f t="shared" si="221"/>
        <v>0</v>
      </c>
      <c r="AU147">
        <f t="shared" si="221"/>
        <v>0</v>
      </c>
    </row>
    <row r="188" ht="14.25" customHeight="1"/>
    <row r="189" spans="17:33" ht="12.75">
      <c r="Q189" s="4"/>
      <c r="AG189" s="4"/>
    </row>
    <row r="190" ht="12.75">
      <c r="AG190" s="4"/>
    </row>
  </sheetData>
  <mergeCells count="12">
    <mergeCell ref="B1:G1"/>
    <mergeCell ref="B2:G2"/>
    <mergeCell ref="R1:W1"/>
    <mergeCell ref="R2:W2"/>
    <mergeCell ref="J1:O1"/>
    <mergeCell ref="J2:O2"/>
    <mergeCell ref="AP1:AU1"/>
    <mergeCell ref="AP2:AU2"/>
    <mergeCell ref="Z1:AE1"/>
    <mergeCell ref="Z2:AE2"/>
    <mergeCell ref="AH1:AM1"/>
    <mergeCell ref="AH2:AM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F16" sqref="A1:F16"/>
    </sheetView>
  </sheetViews>
  <sheetFormatPr defaultColWidth="9.140625" defaultRowHeight="12.75"/>
  <sheetData>
    <row r="1" spans="1:7" ht="12.75">
      <c r="A1" s="2">
        <v>162</v>
      </c>
      <c r="B1">
        <v>83</v>
      </c>
      <c r="C1" s="2">
        <v>6</v>
      </c>
      <c r="D1" s="2"/>
      <c r="E1" s="2">
        <v>93</v>
      </c>
      <c r="F1" s="2">
        <v>1</v>
      </c>
      <c r="G1" s="2"/>
    </row>
    <row r="2" spans="1:7" ht="12.75">
      <c r="A2" s="2">
        <v>210</v>
      </c>
      <c r="B2">
        <v>108</v>
      </c>
      <c r="C2">
        <v>7</v>
      </c>
      <c r="E2" s="2">
        <v>108</v>
      </c>
      <c r="F2" s="2">
        <v>1</v>
      </c>
      <c r="G2" s="2"/>
    </row>
    <row r="3" spans="1:7" ht="12.75">
      <c r="A3" s="2">
        <v>271</v>
      </c>
      <c r="B3">
        <v>129</v>
      </c>
      <c r="C3" s="2">
        <v>4</v>
      </c>
      <c r="D3" s="2"/>
      <c r="E3" s="2">
        <v>168</v>
      </c>
      <c r="F3" s="2"/>
      <c r="G3" s="2"/>
    </row>
    <row r="4" spans="1:7" ht="12.75">
      <c r="A4" s="2">
        <v>335</v>
      </c>
      <c r="B4">
        <v>165</v>
      </c>
      <c r="C4">
        <v>7</v>
      </c>
      <c r="D4" s="2">
        <v>2</v>
      </c>
      <c r="E4" s="2">
        <v>211</v>
      </c>
      <c r="F4" s="2">
        <v>1</v>
      </c>
      <c r="G4" s="2"/>
    </row>
    <row r="5" spans="1:7" ht="12.75">
      <c r="A5" s="2">
        <v>209</v>
      </c>
      <c r="B5">
        <v>98</v>
      </c>
      <c r="C5">
        <v>3</v>
      </c>
      <c r="D5" s="2">
        <v>2</v>
      </c>
      <c r="E5" s="2">
        <v>132</v>
      </c>
      <c r="F5" s="2">
        <v>1</v>
      </c>
      <c r="G5" s="2"/>
    </row>
    <row r="6" spans="1:7" ht="12.75">
      <c r="A6" s="2">
        <v>208</v>
      </c>
      <c r="B6">
        <v>96</v>
      </c>
      <c r="C6">
        <v>5</v>
      </c>
      <c r="D6" s="2"/>
      <c r="E6" s="2">
        <v>123</v>
      </c>
      <c r="F6" s="2">
        <v>1</v>
      </c>
      <c r="G6" s="2"/>
    </row>
    <row r="7" spans="1:7" ht="12.75">
      <c r="A7" s="2">
        <v>198</v>
      </c>
      <c r="B7">
        <v>121</v>
      </c>
      <c r="C7">
        <v>6</v>
      </c>
      <c r="D7" s="2"/>
      <c r="E7" s="2">
        <v>129</v>
      </c>
      <c r="F7" s="2">
        <v>3</v>
      </c>
      <c r="G7" s="2"/>
    </row>
    <row r="8" spans="1:7" ht="12.75">
      <c r="A8" s="2">
        <v>150</v>
      </c>
      <c r="B8">
        <v>99</v>
      </c>
      <c r="C8">
        <v>10</v>
      </c>
      <c r="D8" s="2">
        <v>1</v>
      </c>
      <c r="E8" s="2">
        <v>95</v>
      </c>
      <c r="F8" s="2"/>
      <c r="G8" s="2"/>
    </row>
    <row r="9" spans="1:7" ht="12.75">
      <c r="A9" s="2">
        <v>346</v>
      </c>
      <c r="B9">
        <v>215</v>
      </c>
      <c r="C9">
        <v>24</v>
      </c>
      <c r="D9" s="2">
        <v>1</v>
      </c>
      <c r="E9" s="2">
        <v>203</v>
      </c>
      <c r="F9" s="2">
        <v>8</v>
      </c>
      <c r="G9" s="2"/>
    </row>
    <row r="10" spans="1:7" ht="12.75">
      <c r="A10" s="2">
        <v>366</v>
      </c>
      <c r="B10">
        <v>262</v>
      </c>
      <c r="C10" s="2">
        <v>22</v>
      </c>
      <c r="D10" s="2"/>
      <c r="E10" s="2">
        <v>244</v>
      </c>
      <c r="F10" s="2">
        <v>3</v>
      </c>
      <c r="G10" s="2"/>
    </row>
    <row r="11" spans="1:7" ht="12.75">
      <c r="A11" s="2">
        <v>403</v>
      </c>
      <c r="B11" s="2">
        <v>303</v>
      </c>
      <c r="C11" s="2">
        <v>29</v>
      </c>
      <c r="D11" s="2">
        <v>1</v>
      </c>
      <c r="E11" s="2">
        <v>226</v>
      </c>
      <c r="F11" s="2">
        <v>1</v>
      </c>
      <c r="G11" s="2"/>
    </row>
    <row r="12" spans="1:7" ht="12.75">
      <c r="A12" s="2">
        <v>427</v>
      </c>
      <c r="B12" s="2">
        <v>299</v>
      </c>
      <c r="C12">
        <v>23</v>
      </c>
      <c r="D12" s="2">
        <v>1</v>
      </c>
      <c r="E12" s="2">
        <v>246</v>
      </c>
      <c r="F12" s="2">
        <v>6</v>
      </c>
      <c r="G12" s="2"/>
    </row>
    <row r="13" spans="1:7" ht="12.75">
      <c r="A13" s="2">
        <v>486</v>
      </c>
      <c r="B13" s="2">
        <v>385</v>
      </c>
      <c r="C13" s="2">
        <v>39</v>
      </c>
      <c r="D13" s="2">
        <v>3</v>
      </c>
      <c r="E13" s="2">
        <v>362</v>
      </c>
      <c r="F13" s="2">
        <v>4</v>
      </c>
      <c r="G13" s="2"/>
    </row>
    <row r="14" spans="1:7" ht="12.75">
      <c r="A14" s="2">
        <v>618</v>
      </c>
      <c r="B14" s="2">
        <v>423</v>
      </c>
      <c r="C14" s="2">
        <v>37</v>
      </c>
      <c r="D14" s="2">
        <v>3</v>
      </c>
      <c r="E14" s="2">
        <v>447</v>
      </c>
      <c r="F14" s="2">
        <v>5</v>
      </c>
      <c r="G14" s="2"/>
    </row>
    <row r="15" spans="1:7" ht="12.75">
      <c r="A15" s="2">
        <v>795</v>
      </c>
      <c r="B15" s="2">
        <v>567</v>
      </c>
      <c r="C15" s="2">
        <v>34</v>
      </c>
      <c r="D15" s="2">
        <v>4</v>
      </c>
      <c r="E15" s="2">
        <v>484</v>
      </c>
      <c r="F15" s="2">
        <v>1</v>
      </c>
      <c r="G15" s="2"/>
    </row>
    <row r="16" spans="1:7" ht="12.75">
      <c r="A16" s="2">
        <v>946</v>
      </c>
      <c r="B16" s="2">
        <v>756</v>
      </c>
      <c r="C16" s="2">
        <v>53</v>
      </c>
      <c r="D16" s="2">
        <v>5</v>
      </c>
      <c r="E16" s="2">
        <v>658</v>
      </c>
      <c r="F16" s="2"/>
      <c r="G16" s="2"/>
    </row>
    <row r="17" spans="1:7" ht="12.75">
      <c r="A17" s="2"/>
      <c r="B17" s="2"/>
      <c r="C17" s="2"/>
      <c r="D17" s="2"/>
      <c r="E17" s="2"/>
      <c r="F17" s="2"/>
      <c r="G1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Jyocom</dc:creator>
  <cp:keywords/>
  <dc:description/>
  <cp:lastModifiedBy>Jyocom</cp:lastModifiedBy>
  <cp:lastPrinted>2002-12-17T16:09:23Z</cp:lastPrinted>
  <dcterms:created xsi:type="dcterms:W3CDTF">2002-11-27T18:07:23Z</dcterms:created>
  <dcterms:modified xsi:type="dcterms:W3CDTF">2003-05-14T18:53:00Z</dcterms:modified>
  <cp:category/>
  <cp:version/>
  <cp:contentType/>
  <cp:contentStatus/>
</cp:coreProperties>
</file>